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RL\UD\Westrock\"/>
    </mc:Choice>
  </mc:AlternateContent>
  <xr:revisionPtr revIDLastSave="0" documentId="13_ncr:1_{43A6D656-7629-4AB1-BF21-C8E4203A3848}" xr6:coauthVersionLast="47" xr6:coauthVersionMax="47" xr10:uidLastSave="{00000000-0000-0000-0000-000000000000}"/>
  <bookViews>
    <workbookView xWindow="-120" yWindow="-120" windowWidth="29040" windowHeight="15840" xr2:uid="{152850A7-EDCE-402A-82E4-88F850ECF0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1" l="1"/>
  <c r="B2492" i="1"/>
  <c r="A2492" i="1"/>
  <c r="B2489" i="1"/>
  <c r="A2489" i="1"/>
  <c r="B2487" i="1"/>
  <c r="A2487" i="1"/>
  <c r="B2483" i="1"/>
  <c r="A2483" i="1"/>
  <c r="B2480" i="1"/>
  <c r="A2480" i="1"/>
  <c r="B2477" i="1"/>
  <c r="A2477" i="1"/>
  <c r="B2464" i="1"/>
  <c r="A2464" i="1"/>
  <c r="B2463" i="1"/>
  <c r="A2463" i="1"/>
  <c r="B2461" i="1"/>
  <c r="A2461" i="1"/>
  <c r="B2460" i="1"/>
  <c r="A2460" i="1"/>
  <c r="B2458" i="1"/>
  <c r="A2458" i="1"/>
  <c r="B2456" i="1"/>
  <c r="A2456" i="1"/>
  <c r="B2454" i="1"/>
  <c r="A2454" i="1"/>
  <c r="B2451" i="1"/>
  <c r="A2451" i="1"/>
  <c r="B2449" i="1"/>
  <c r="A2449" i="1"/>
  <c r="B1827" i="1"/>
  <c r="A1827" i="1"/>
  <c r="B140" i="1"/>
  <c r="A140" i="1"/>
  <c r="B2706" i="1"/>
  <c r="A2706" i="1"/>
  <c r="B2701" i="1"/>
  <c r="A2701" i="1"/>
  <c r="B2700" i="1"/>
  <c r="A2700" i="1"/>
  <c r="B2699" i="1"/>
  <c r="A2699" i="1"/>
  <c r="B2697" i="1"/>
  <c r="A2697" i="1"/>
  <c r="B2695" i="1"/>
  <c r="A2695" i="1"/>
  <c r="B2693" i="1"/>
  <c r="A2693" i="1"/>
  <c r="B2519" i="1"/>
  <c r="A2519" i="1"/>
  <c r="B2108" i="1"/>
  <c r="A2108" i="1"/>
  <c r="B1826" i="1"/>
  <c r="A1826" i="1"/>
  <c r="B1602" i="1"/>
  <c r="A1602" i="1"/>
  <c r="B1598" i="1"/>
  <c r="A1598" i="1"/>
  <c r="B477" i="1"/>
  <c r="A477" i="1"/>
  <c r="B476" i="1"/>
  <c r="A476" i="1"/>
  <c r="B475" i="1"/>
  <c r="A475" i="1"/>
  <c r="B474" i="1"/>
  <c r="A474" i="1"/>
  <c r="B258" i="1"/>
  <c r="A258" i="1"/>
  <c r="B257" i="1"/>
  <c r="A257" i="1"/>
  <c r="B256" i="1"/>
  <c r="A256" i="1"/>
  <c r="B255" i="1"/>
  <c r="A255" i="1"/>
  <c r="B224" i="1"/>
  <c r="A224" i="1"/>
  <c r="B172" i="1"/>
  <c r="A172" i="1"/>
  <c r="B1476" i="1"/>
  <c r="A1476" i="1"/>
  <c r="B1475" i="1"/>
  <c r="A1475" i="1"/>
  <c r="B3033" i="1"/>
  <c r="A3033" i="1"/>
  <c r="B3032" i="1"/>
  <c r="A3032" i="1"/>
  <c r="B3031" i="1"/>
  <c r="A3031" i="1"/>
  <c r="B3030" i="1"/>
  <c r="A3030" i="1"/>
  <c r="B3029" i="1"/>
  <c r="A3029" i="1"/>
  <c r="B3028" i="1"/>
  <c r="A3028" i="1"/>
  <c r="B3027" i="1"/>
  <c r="A3027" i="1"/>
  <c r="B3026" i="1"/>
  <c r="A3026" i="1"/>
  <c r="B3025" i="1"/>
  <c r="A3025" i="1"/>
  <c r="B3024" i="1"/>
  <c r="A3024" i="1"/>
  <c r="B3023" i="1"/>
  <c r="A3023" i="1"/>
  <c r="B3022" i="1"/>
  <c r="A3022" i="1"/>
  <c r="B3021" i="1"/>
  <c r="A3021" i="1"/>
  <c r="B3020" i="1"/>
  <c r="A3020" i="1"/>
  <c r="B3019" i="1"/>
  <c r="A3019" i="1"/>
  <c r="B3018" i="1"/>
  <c r="A3018" i="1"/>
  <c r="B3017" i="1"/>
  <c r="A3017" i="1"/>
  <c r="B3016" i="1"/>
  <c r="A3016" i="1"/>
  <c r="B3015" i="1"/>
  <c r="A3015" i="1"/>
  <c r="B3014" i="1"/>
  <c r="A3014" i="1"/>
  <c r="B3013" i="1"/>
  <c r="A3013" i="1"/>
  <c r="B3012" i="1"/>
  <c r="A3012" i="1"/>
  <c r="B3011" i="1"/>
  <c r="A3011" i="1"/>
  <c r="B3010" i="1"/>
  <c r="A3010" i="1"/>
  <c r="B3009" i="1"/>
  <c r="A3009" i="1"/>
  <c r="B3008" i="1"/>
  <c r="A3008" i="1"/>
  <c r="B3007" i="1"/>
  <c r="A3007" i="1"/>
  <c r="B3006" i="1"/>
  <c r="A3006" i="1"/>
  <c r="B3005" i="1"/>
  <c r="A3005" i="1"/>
  <c r="B3004" i="1"/>
  <c r="A3004" i="1"/>
  <c r="B3003" i="1"/>
  <c r="A3003" i="1"/>
  <c r="B3002" i="1"/>
  <c r="A3002" i="1"/>
  <c r="B3001" i="1"/>
  <c r="A3001" i="1"/>
  <c r="B3000" i="1"/>
  <c r="A3000" i="1"/>
  <c r="B2999" i="1"/>
  <c r="A2999" i="1"/>
  <c r="B2998" i="1"/>
  <c r="A2998" i="1"/>
  <c r="B2997" i="1"/>
  <c r="A2997" i="1"/>
  <c r="B2996" i="1"/>
  <c r="A2996" i="1"/>
  <c r="B2995" i="1"/>
  <c r="A2995" i="1"/>
  <c r="B2994" i="1"/>
  <c r="A2994" i="1"/>
  <c r="B2993" i="1"/>
  <c r="A2993" i="1"/>
  <c r="B2992" i="1"/>
  <c r="A2992" i="1"/>
  <c r="B2991" i="1"/>
  <c r="A2991" i="1"/>
  <c r="B2990" i="1"/>
  <c r="A2990" i="1"/>
  <c r="B2989" i="1"/>
  <c r="A2989" i="1"/>
  <c r="B2988" i="1"/>
  <c r="A2988" i="1"/>
  <c r="B2987" i="1"/>
  <c r="A2987" i="1"/>
  <c r="B2986" i="1"/>
  <c r="A2986" i="1"/>
  <c r="B2985" i="1"/>
  <c r="A2985" i="1"/>
  <c r="B2984" i="1"/>
  <c r="A2984" i="1"/>
  <c r="B2983" i="1"/>
  <c r="A2983" i="1"/>
  <c r="B2982" i="1"/>
  <c r="A2982" i="1"/>
  <c r="B2981" i="1"/>
  <c r="A2981" i="1"/>
  <c r="B2980" i="1"/>
  <c r="A2980" i="1"/>
  <c r="B2979" i="1"/>
  <c r="A2979" i="1"/>
  <c r="B2978" i="1"/>
  <c r="A2978" i="1"/>
  <c r="B2977" i="1"/>
  <c r="A2977" i="1"/>
  <c r="B2976" i="1"/>
  <c r="A2976" i="1"/>
  <c r="B2975" i="1"/>
  <c r="A2975" i="1"/>
  <c r="B2974" i="1"/>
  <c r="A2974" i="1"/>
  <c r="B2973" i="1"/>
  <c r="A2973" i="1"/>
  <c r="B2972" i="1"/>
  <c r="A2972" i="1"/>
  <c r="B2971" i="1"/>
  <c r="A2971" i="1"/>
  <c r="B2970" i="1"/>
  <c r="A2970" i="1"/>
  <c r="B2969" i="1"/>
  <c r="A2969" i="1"/>
  <c r="B2968" i="1"/>
  <c r="A2968" i="1"/>
  <c r="B2967" i="1"/>
  <c r="A2967" i="1"/>
  <c r="B2966" i="1"/>
  <c r="A2966" i="1"/>
  <c r="B2965" i="1"/>
  <c r="A2965" i="1"/>
  <c r="B2964" i="1"/>
  <c r="A2964" i="1"/>
  <c r="B2963" i="1"/>
  <c r="A2963" i="1"/>
  <c r="B2962" i="1"/>
  <c r="A2962" i="1"/>
  <c r="B2961" i="1"/>
  <c r="A2961" i="1"/>
  <c r="B2960" i="1"/>
  <c r="A2960" i="1"/>
  <c r="B2959" i="1"/>
  <c r="A2959" i="1"/>
  <c r="B2958" i="1"/>
  <c r="A2958" i="1"/>
  <c r="B2957" i="1"/>
  <c r="A2957" i="1"/>
  <c r="B2956" i="1"/>
  <c r="A2956" i="1"/>
  <c r="B2955" i="1"/>
  <c r="A2955" i="1"/>
  <c r="B2954" i="1"/>
  <c r="A2954" i="1"/>
  <c r="B2953" i="1"/>
  <c r="A2953" i="1"/>
  <c r="B2952" i="1"/>
  <c r="A2952" i="1"/>
  <c r="B2951" i="1"/>
  <c r="A2951" i="1"/>
  <c r="B2950" i="1"/>
  <c r="A2950" i="1"/>
  <c r="B2949" i="1"/>
  <c r="A2949" i="1"/>
  <c r="B2948" i="1"/>
  <c r="A2948" i="1"/>
  <c r="B2947" i="1"/>
  <c r="A2947" i="1"/>
  <c r="B2946" i="1"/>
  <c r="A2946" i="1"/>
  <c r="B2945" i="1"/>
  <c r="A2945" i="1"/>
  <c r="B2944" i="1"/>
  <c r="A2944" i="1"/>
  <c r="B2943" i="1"/>
  <c r="A2943" i="1"/>
  <c r="B2942" i="1"/>
  <c r="A2942" i="1"/>
  <c r="B2941" i="1"/>
  <c r="A2941" i="1"/>
  <c r="B2940" i="1"/>
  <c r="A2940" i="1"/>
  <c r="B2939" i="1"/>
  <c r="A2939" i="1"/>
  <c r="B2938" i="1"/>
  <c r="A2938" i="1"/>
  <c r="B2937" i="1"/>
  <c r="A2937" i="1"/>
  <c r="B2936" i="1"/>
  <c r="A2936" i="1"/>
  <c r="B2935" i="1"/>
  <c r="A2935" i="1"/>
  <c r="B2934" i="1"/>
  <c r="A2934" i="1"/>
  <c r="B2933" i="1"/>
  <c r="A2933" i="1"/>
  <c r="B2932" i="1"/>
  <c r="A2932" i="1"/>
  <c r="B2931" i="1"/>
  <c r="A2931" i="1"/>
  <c r="B2930" i="1"/>
  <c r="A2930" i="1"/>
  <c r="B2929" i="1"/>
  <c r="A2929" i="1"/>
  <c r="B2928" i="1"/>
  <c r="A2928" i="1"/>
  <c r="B2927" i="1"/>
  <c r="A2927" i="1"/>
  <c r="B2926" i="1"/>
  <c r="A2926" i="1"/>
  <c r="B2925" i="1"/>
  <c r="A2925" i="1"/>
  <c r="B2924" i="1"/>
  <c r="A2924" i="1"/>
  <c r="B2923" i="1"/>
  <c r="A2923" i="1"/>
  <c r="B2922" i="1"/>
  <c r="A2922" i="1"/>
  <c r="B2921" i="1"/>
  <c r="A2921" i="1"/>
  <c r="B2920" i="1"/>
  <c r="A2920" i="1"/>
  <c r="B2919" i="1"/>
  <c r="A2919" i="1"/>
  <c r="B2918" i="1"/>
  <c r="A2918" i="1"/>
  <c r="B2917" i="1"/>
  <c r="A2917" i="1"/>
  <c r="B2916" i="1"/>
  <c r="A2916" i="1"/>
  <c r="B2915" i="1"/>
  <c r="A2915" i="1"/>
  <c r="B2914" i="1"/>
  <c r="A2914" i="1"/>
  <c r="B2913" i="1"/>
  <c r="A2913" i="1"/>
  <c r="B2912" i="1"/>
  <c r="A2912" i="1"/>
  <c r="B2911" i="1"/>
  <c r="A2911" i="1"/>
  <c r="B2910" i="1"/>
  <c r="A2910" i="1"/>
  <c r="B2909" i="1"/>
  <c r="A2909" i="1"/>
  <c r="B2908" i="1"/>
  <c r="A2908" i="1"/>
  <c r="B2907" i="1"/>
  <c r="A2907" i="1"/>
  <c r="B2906" i="1"/>
  <c r="A2906" i="1"/>
  <c r="B2905" i="1"/>
  <c r="A2905" i="1"/>
  <c r="B2904" i="1"/>
  <c r="A2904" i="1"/>
  <c r="B2903" i="1"/>
  <c r="A2903" i="1"/>
  <c r="B2902" i="1"/>
  <c r="A2902" i="1"/>
  <c r="B2901" i="1"/>
  <c r="A2901" i="1"/>
  <c r="B2900" i="1"/>
  <c r="A2900" i="1"/>
  <c r="B2899" i="1"/>
  <c r="A2899" i="1"/>
  <c r="B2898" i="1"/>
  <c r="A2898" i="1"/>
  <c r="B2897" i="1"/>
  <c r="A2897" i="1"/>
  <c r="B2896" i="1"/>
  <c r="A2896" i="1"/>
  <c r="B2895" i="1"/>
  <c r="A2895" i="1"/>
  <c r="B2894" i="1"/>
  <c r="A2894" i="1"/>
  <c r="B2893" i="1"/>
  <c r="A2893" i="1"/>
  <c r="B2892" i="1"/>
  <c r="A2892" i="1"/>
  <c r="B2891" i="1"/>
  <c r="A2891" i="1"/>
  <c r="B2890" i="1"/>
  <c r="A2890" i="1"/>
  <c r="B2889" i="1"/>
  <c r="A2889" i="1"/>
  <c r="B2888" i="1"/>
  <c r="A2888" i="1"/>
  <c r="B2887" i="1"/>
  <c r="A2887" i="1"/>
  <c r="B2886" i="1"/>
  <c r="A2886" i="1"/>
  <c r="B2885" i="1"/>
  <c r="A2885" i="1"/>
  <c r="B2884" i="1"/>
  <c r="A2884" i="1"/>
  <c r="B2883" i="1"/>
  <c r="A2883" i="1"/>
  <c r="B2882" i="1"/>
  <c r="A2882" i="1"/>
  <c r="B2881" i="1"/>
  <c r="A2881" i="1"/>
  <c r="B2880" i="1"/>
  <c r="A2880" i="1"/>
  <c r="B2879" i="1"/>
  <c r="A2879" i="1"/>
  <c r="B2878" i="1"/>
  <c r="A2878" i="1"/>
  <c r="B2877" i="1"/>
  <c r="A2877" i="1"/>
  <c r="B2876" i="1"/>
  <c r="A2876" i="1"/>
  <c r="B2875" i="1"/>
  <c r="A2875" i="1"/>
  <c r="B2874" i="1"/>
  <c r="A2874" i="1"/>
  <c r="B2873" i="1"/>
  <c r="A2873" i="1"/>
  <c r="B2872" i="1"/>
  <c r="A2872" i="1"/>
  <c r="B2871" i="1"/>
  <c r="A2871" i="1"/>
  <c r="B2870" i="1"/>
  <c r="A2870" i="1"/>
  <c r="B2869" i="1"/>
  <c r="A2869" i="1"/>
  <c r="B2868" i="1"/>
  <c r="A2868" i="1"/>
  <c r="B2867" i="1"/>
  <c r="A2867" i="1"/>
  <c r="B2866" i="1"/>
  <c r="A2866" i="1"/>
  <c r="B2865" i="1"/>
  <c r="A2865" i="1"/>
  <c r="B2864" i="1"/>
  <c r="A2864" i="1"/>
  <c r="B2863" i="1"/>
  <c r="A2863" i="1"/>
  <c r="B2862" i="1"/>
  <c r="A2862" i="1"/>
  <c r="B2861" i="1"/>
  <c r="A2861" i="1"/>
  <c r="B2860" i="1"/>
  <c r="A2860" i="1"/>
  <c r="B2859" i="1"/>
  <c r="A2859" i="1"/>
  <c r="B2858" i="1"/>
  <c r="A2858" i="1"/>
  <c r="B2857" i="1"/>
  <c r="A2857" i="1"/>
  <c r="B2856" i="1"/>
  <c r="A2856" i="1"/>
  <c r="B2855" i="1"/>
  <c r="A2855" i="1"/>
  <c r="B2854" i="1"/>
  <c r="A2854" i="1"/>
  <c r="B2853" i="1"/>
  <c r="A2853" i="1"/>
  <c r="B2852" i="1"/>
  <c r="A2852" i="1"/>
  <c r="B2851" i="1"/>
  <c r="A2851" i="1"/>
  <c r="B2850" i="1"/>
  <c r="A2850" i="1"/>
  <c r="B2849" i="1"/>
  <c r="A2849" i="1"/>
  <c r="B2848" i="1"/>
  <c r="A2848" i="1"/>
  <c r="B2847" i="1"/>
  <c r="A2847" i="1"/>
  <c r="B2846" i="1"/>
  <c r="A2846" i="1"/>
  <c r="B2845" i="1"/>
  <c r="A2845" i="1"/>
  <c r="B2844" i="1"/>
  <c r="A2844" i="1"/>
  <c r="B2843" i="1"/>
  <c r="A2843" i="1"/>
  <c r="B2842" i="1"/>
  <c r="A2842" i="1"/>
  <c r="B2841" i="1"/>
  <c r="A2841" i="1"/>
  <c r="B2840" i="1"/>
  <c r="A2840" i="1"/>
  <c r="B2839" i="1"/>
  <c r="A2839" i="1"/>
  <c r="B2838" i="1"/>
  <c r="A2838" i="1"/>
  <c r="B2837" i="1"/>
  <c r="A2837" i="1"/>
  <c r="B2836" i="1"/>
  <c r="A2836" i="1"/>
  <c r="B2835" i="1"/>
  <c r="A2835" i="1"/>
  <c r="B2834" i="1"/>
  <c r="A2834" i="1"/>
  <c r="B2833" i="1"/>
  <c r="A2833" i="1"/>
  <c r="B2832" i="1"/>
  <c r="A2832" i="1"/>
  <c r="B2831" i="1"/>
  <c r="A2831" i="1"/>
  <c r="B2830" i="1"/>
  <c r="A2830" i="1"/>
  <c r="B2829" i="1"/>
  <c r="A2829" i="1"/>
  <c r="B2828" i="1"/>
  <c r="A2828" i="1"/>
  <c r="B2827" i="1"/>
  <c r="A2827" i="1"/>
  <c r="B2826" i="1"/>
  <c r="A2826" i="1"/>
  <c r="B2825" i="1"/>
  <c r="A2825" i="1"/>
  <c r="B2824" i="1"/>
  <c r="A2824" i="1"/>
  <c r="B2823" i="1"/>
  <c r="A2823" i="1"/>
  <c r="B2822" i="1"/>
  <c r="A2822" i="1"/>
  <c r="B2821" i="1"/>
  <c r="A2821" i="1"/>
  <c r="B2820" i="1"/>
  <c r="A2820" i="1"/>
  <c r="B2819" i="1"/>
  <c r="A2819" i="1"/>
  <c r="B2818" i="1"/>
  <c r="A2818" i="1"/>
  <c r="B2817" i="1"/>
  <c r="A2817" i="1"/>
  <c r="B2816" i="1"/>
  <c r="A2816" i="1"/>
  <c r="B2815" i="1"/>
  <c r="A2815" i="1"/>
  <c r="B2814" i="1"/>
  <c r="A2814" i="1"/>
  <c r="B2813" i="1"/>
  <c r="A2813" i="1"/>
  <c r="B2812" i="1"/>
  <c r="A2812" i="1"/>
  <c r="B2811" i="1"/>
  <c r="A2811" i="1"/>
  <c r="B2810" i="1"/>
  <c r="A2810" i="1"/>
  <c r="B2809" i="1"/>
  <c r="A2809" i="1"/>
  <c r="B2808" i="1"/>
  <c r="A2808" i="1"/>
  <c r="B2807" i="1"/>
  <c r="A2807" i="1"/>
  <c r="B2806" i="1"/>
  <c r="A2806" i="1"/>
  <c r="B2805" i="1"/>
  <c r="A2805" i="1"/>
  <c r="B2804" i="1"/>
  <c r="A2804" i="1"/>
  <c r="B2803" i="1"/>
  <c r="A2803" i="1"/>
  <c r="B2802" i="1"/>
  <c r="A2802" i="1"/>
  <c r="B2801" i="1"/>
  <c r="A2801" i="1"/>
  <c r="B2800" i="1"/>
  <c r="A2800" i="1"/>
  <c r="B2799" i="1"/>
  <c r="A2799" i="1"/>
  <c r="B2798" i="1"/>
  <c r="A2798" i="1"/>
  <c r="B2797" i="1"/>
  <c r="A2797" i="1"/>
  <c r="B2796" i="1"/>
  <c r="A2796" i="1"/>
  <c r="B2795" i="1"/>
  <c r="A2795" i="1"/>
  <c r="B2794" i="1"/>
  <c r="A2794" i="1"/>
  <c r="B2793" i="1"/>
  <c r="A2793" i="1"/>
  <c r="B2792" i="1"/>
  <c r="A2792" i="1"/>
  <c r="B2791" i="1"/>
  <c r="A2791" i="1"/>
  <c r="B2790" i="1"/>
  <c r="A2790" i="1"/>
  <c r="B2789" i="1"/>
  <c r="A2789" i="1"/>
  <c r="B2788" i="1"/>
  <c r="A2788" i="1"/>
  <c r="B2787" i="1"/>
  <c r="A2787" i="1"/>
  <c r="B2786" i="1"/>
  <c r="A2786" i="1"/>
  <c r="B2785" i="1"/>
  <c r="A2785" i="1"/>
  <c r="B2784" i="1"/>
  <c r="A2784" i="1"/>
  <c r="B2783" i="1"/>
  <c r="A2783" i="1"/>
  <c r="B2782" i="1"/>
  <c r="A2782" i="1"/>
  <c r="B2781" i="1"/>
  <c r="A2781" i="1"/>
  <c r="B2780" i="1"/>
  <c r="A2780" i="1"/>
  <c r="B2779" i="1"/>
  <c r="A2779" i="1"/>
  <c r="B2778" i="1"/>
  <c r="A2778" i="1"/>
  <c r="B2777" i="1"/>
  <c r="A2777" i="1"/>
  <c r="B2776" i="1"/>
  <c r="A2776" i="1"/>
  <c r="B2775" i="1"/>
  <c r="A2775" i="1"/>
  <c r="B2774" i="1"/>
  <c r="A2774" i="1"/>
  <c r="B2773" i="1"/>
  <c r="A2773" i="1"/>
  <c r="B2772" i="1"/>
  <c r="A2772" i="1"/>
  <c r="B2771" i="1"/>
  <c r="A2771" i="1"/>
  <c r="B2770" i="1"/>
  <c r="A2770" i="1"/>
  <c r="B2769" i="1"/>
  <c r="A2769" i="1"/>
  <c r="B2768" i="1"/>
  <c r="A2768" i="1"/>
  <c r="B2767" i="1"/>
  <c r="A2767" i="1"/>
  <c r="B2766" i="1"/>
  <c r="A2766" i="1"/>
  <c r="B2765" i="1"/>
  <c r="A2765" i="1"/>
  <c r="B2764" i="1"/>
  <c r="A2764" i="1"/>
  <c r="B2763" i="1"/>
  <c r="A2763" i="1"/>
  <c r="B2762" i="1"/>
  <c r="A2762" i="1"/>
  <c r="B2761" i="1"/>
  <c r="A2761" i="1"/>
  <c r="B2760" i="1"/>
  <c r="A2760" i="1"/>
  <c r="B2759" i="1"/>
  <c r="A2759" i="1"/>
  <c r="B2758" i="1"/>
  <c r="A2758" i="1"/>
  <c r="B2757" i="1"/>
  <c r="A2757" i="1"/>
  <c r="B2756" i="1"/>
  <c r="A2756" i="1"/>
  <c r="B2755" i="1"/>
  <c r="A2755" i="1"/>
  <c r="B2754" i="1"/>
  <c r="A2754" i="1"/>
  <c r="B2753" i="1"/>
  <c r="A2753" i="1"/>
  <c r="B2752" i="1"/>
  <c r="A2752" i="1"/>
  <c r="B2751" i="1"/>
  <c r="A2751" i="1"/>
  <c r="B2750" i="1"/>
  <c r="A2750" i="1"/>
  <c r="B2749" i="1"/>
  <c r="A2749" i="1"/>
  <c r="B2748" i="1"/>
  <c r="A2748" i="1"/>
  <c r="B2747" i="1"/>
  <c r="A2747" i="1"/>
  <c r="B2746" i="1"/>
  <c r="A2746" i="1"/>
  <c r="B2745" i="1"/>
  <c r="A2745" i="1"/>
  <c r="B2744" i="1"/>
  <c r="A2744" i="1"/>
  <c r="B2743" i="1"/>
  <c r="A2743" i="1"/>
  <c r="B2742" i="1"/>
  <c r="A2742" i="1"/>
  <c r="B2741" i="1"/>
  <c r="A2741" i="1"/>
  <c r="B2740" i="1"/>
  <c r="A2740" i="1"/>
  <c r="B2739" i="1"/>
  <c r="A2739" i="1"/>
  <c r="B2738" i="1"/>
  <c r="A2738" i="1"/>
  <c r="B2737" i="1"/>
  <c r="A2737" i="1"/>
  <c r="B2736" i="1"/>
  <c r="A2736" i="1"/>
  <c r="B2735" i="1"/>
  <c r="A2735" i="1"/>
  <c r="B2734" i="1"/>
  <c r="A2734" i="1"/>
  <c r="B2733" i="1"/>
  <c r="A2733" i="1"/>
  <c r="B2732" i="1"/>
  <c r="A2732" i="1"/>
  <c r="B2731" i="1"/>
  <c r="A2731" i="1"/>
  <c r="B2730" i="1"/>
  <c r="A2730" i="1"/>
  <c r="B2729" i="1"/>
  <c r="A2729" i="1"/>
  <c r="B2728" i="1"/>
  <c r="A2728" i="1"/>
  <c r="B2727" i="1"/>
  <c r="A2727" i="1"/>
  <c r="B2726" i="1"/>
  <c r="A2726" i="1"/>
  <c r="B2725" i="1"/>
  <c r="A2725" i="1"/>
  <c r="B2724" i="1"/>
  <c r="A2724" i="1"/>
  <c r="B2723" i="1"/>
  <c r="A2723" i="1"/>
  <c r="B2722" i="1"/>
  <c r="A2722" i="1"/>
  <c r="B2721" i="1"/>
  <c r="A2721" i="1"/>
  <c r="B2720" i="1"/>
  <c r="A2720" i="1"/>
  <c r="B2719" i="1"/>
  <c r="A2719" i="1"/>
  <c r="B2718" i="1"/>
  <c r="A2718" i="1"/>
  <c r="B2717" i="1"/>
  <c r="A2717" i="1"/>
  <c r="B2716" i="1"/>
  <c r="A2716" i="1"/>
  <c r="B2715" i="1"/>
  <c r="A2715" i="1"/>
  <c r="B2714" i="1"/>
  <c r="A2714" i="1"/>
  <c r="B2713" i="1"/>
  <c r="A2713" i="1"/>
  <c r="B2712" i="1"/>
  <c r="A2712" i="1"/>
  <c r="B2711" i="1"/>
  <c r="A2711" i="1"/>
  <c r="B2710" i="1"/>
  <c r="A2710" i="1"/>
  <c r="B2709" i="1"/>
  <c r="A2709" i="1"/>
  <c r="B2708" i="1"/>
  <c r="A2708" i="1"/>
  <c r="B2707" i="1"/>
  <c r="A2707" i="1"/>
  <c r="B2705" i="1"/>
  <c r="A2705" i="1"/>
  <c r="B2704" i="1"/>
  <c r="A2704" i="1"/>
  <c r="B2703" i="1"/>
  <c r="A2703" i="1"/>
  <c r="B2702" i="1"/>
  <c r="A2702" i="1"/>
  <c r="B2698" i="1"/>
  <c r="A2698" i="1"/>
  <c r="B2696" i="1"/>
  <c r="A2696" i="1"/>
  <c r="B2694" i="1"/>
  <c r="A2694" i="1"/>
  <c r="B2692" i="1"/>
  <c r="A2692" i="1"/>
  <c r="B2691" i="1"/>
  <c r="A2691" i="1"/>
  <c r="B2690" i="1"/>
  <c r="A2690" i="1"/>
  <c r="B2689" i="1"/>
  <c r="A2689" i="1"/>
  <c r="B2688" i="1"/>
  <c r="A2688" i="1"/>
  <c r="B2687" i="1"/>
  <c r="A2687" i="1"/>
  <c r="B2686" i="1"/>
  <c r="A2686" i="1"/>
  <c r="B2685" i="1"/>
  <c r="A2685" i="1"/>
  <c r="B2684" i="1"/>
  <c r="A2684" i="1"/>
  <c r="B2683" i="1"/>
  <c r="A2683" i="1"/>
  <c r="B2682" i="1"/>
  <c r="A2682" i="1"/>
  <c r="B2681" i="1"/>
  <c r="A2681" i="1"/>
  <c r="B2680" i="1"/>
  <c r="A2680" i="1"/>
  <c r="B2679" i="1"/>
  <c r="A2679" i="1"/>
  <c r="B2678" i="1"/>
  <c r="A2678" i="1"/>
  <c r="B2677" i="1"/>
  <c r="A2677" i="1"/>
  <c r="B2676" i="1"/>
  <c r="A2676" i="1"/>
  <c r="B2675" i="1"/>
  <c r="A2675" i="1"/>
  <c r="B2674" i="1"/>
  <c r="A2674" i="1"/>
  <c r="B2673" i="1"/>
  <c r="A2673" i="1"/>
  <c r="B2672" i="1"/>
  <c r="A2672" i="1"/>
  <c r="B2671" i="1"/>
  <c r="A2671" i="1"/>
  <c r="B2670" i="1"/>
  <c r="A2670" i="1"/>
  <c r="B2669" i="1"/>
  <c r="A2669" i="1"/>
  <c r="B2668" i="1"/>
  <c r="A2668" i="1"/>
  <c r="B2667" i="1"/>
  <c r="A2667" i="1"/>
  <c r="B2666" i="1"/>
  <c r="A2666" i="1"/>
  <c r="B2665" i="1"/>
  <c r="A2665" i="1"/>
  <c r="B2664" i="1"/>
  <c r="A2664" i="1"/>
  <c r="B2663" i="1"/>
  <c r="A2663" i="1"/>
  <c r="B2662" i="1"/>
  <c r="A2662" i="1"/>
  <c r="B2661" i="1"/>
  <c r="A2661" i="1"/>
  <c r="B2660" i="1"/>
  <c r="A2660" i="1"/>
  <c r="B2659" i="1"/>
  <c r="A2659" i="1"/>
  <c r="B2658" i="1"/>
  <c r="A2658" i="1"/>
  <c r="B2657" i="1"/>
  <c r="A2657" i="1"/>
  <c r="B2656" i="1"/>
  <c r="A2656" i="1"/>
  <c r="B2655" i="1"/>
  <c r="A2655" i="1"/>
  <c r="B2654" i="1"/>
  <c r="A2654" i="1"/>
  <c r="B2653" i="1"/>
  <c r="A2653" i="1"/>
  <c r="B2652" i="1"/>
  <c r="A2652" i="1"/>
  <c r="B2651" i="1"/>
  <c r="A2651" i="1"/>
  <c r="B2650" i="1"/>
  <c r="A2650" i="1"/>
  <c r="B2649" i="1"/>
  <c r="A2649" i="1"/>
  <c r="B2648" i="1"/>
  <c r="A2648" i="1"/>
  <c r="B2647" i="1"/>
  <c r="A2647" i="1"/>
  <c r="B2646" i="1"/>
  <c r="A2646" i="1"/>
  <c r="B2645" i="1"/>
  <c r="A2645" i="1"/>
  <c r="B2644" i="1"/>
  <c r="A2644" i="1"/>
  <c r="B2643" i="1"/>
  <c r="A2643" i="1"/>
  <c r="B2642" i="1"/>
  <c r="A2642" i="1"/>
  <c r="B2641" i="1"/>
  <c r="A2641" i="1"/>
  <c r="B2640" i="1"/>
  <c r="A2640" i="1"/>
  <c r="B2639" i="1"/>
  <c r="A2639" i="1"/>
  <c r="B2638" i="1"/>
  <c r="A2638" i="1"/>
  <c r="B2637" i="1"/>
  <c r="A2637" i="1"/>
  <c r="B2636" i="1"/>
  <c r="A2636" i="1"/>
  <c r="B2635" i="1"/>
  <c r="A2635" i="1"/>
  <c r="B2634" i="1"/>
  <c r="A2634" i="1"/>
  <c r="B2633" i="1"/>
  <c r="A2633" i="1"/>
  <c r="B2632" i="1"/>
  <c r="A2632" i="1"/>
  <c r="B2631" i="1"/>
  <c r="A2631" i="1"/>
  <c r="B2630" i="1"/>
  <c r="A2630" i="1"/>
  <c r="B2629" i="1"/>
  <c r="A2629" i="1"/>
  <c r="B2628" i="1"/>
  <c r="A2628" i="1"/>
  <c r="B2627" i="1"/>
  <c r="A2627" i="1"/>
  <c r="B2626" i="1"/>
  <c r="A2626" i="1"/>
  <c r="B2625" i="1"/>
  <c r="A2625" i="1"/>
  <c r="B2624" i="1"/>
  <c r="A2624" i="1"/>
  <c r="B2623" i="1"/>
  <c r="A2623" i="1"/>
  <c r="B2622" i="1"/>
  <c r="A2622" i="1"/>
  <c r="B2621" i="1"/>
  <c r="A2621" i="1"/>
  <c r="B2620" i="1"/>
  <c r="A2620" i="1"/>
  <c r="B2619" i="1"/>
  <c r="A2619" i="1"/>
  <c r="B2618" i="1"/>
  <c r="A2618" i="1"/>
  <c r="B2617" i="1"/>
  <c r="A2617" i="1"/>
  <c r="B2616" i="1"/>
  <c r="A2616" i="1"/>
  <c r="B2615" i="1"/>
  <c r="A2615" i="1"/>
  <c r="B2614" i="1"/>
  <c r="A2614" i="1"/>
  <c r="B2613" i="1"/>
  <c r="A2613" i="1"/>
  <c r="B2612" i="1"/>
  <c r="A2612" i="1"/>
  <c r="B2611" i="1"/>
  <c r="A2611" i="1"/>
  <c r="B2610" i="1"/>
  <c r="A2610" i="1"/>
  <c r="B2609" i="1"/>
  <c r="A2609" i="1"/>
  <c r="B2608" i="1"/>
  <c r="A2608" i="1"/>
  <c r="B2607" i="1"/>
  <c r="A2607" i="1"/>
  <c r="B2606" i="1"/>
  <c r="A2606" i="1"/>
  <c r="B2605" i="1"/>
  <c r="A2605" i="1"/>
  <c r="B2604" i="1"/>
  <c r="A2604" i="1"/>
  <c r="B2603" i="1"/>
  <c r="A2603" i="1"/>
  <c r="B2602" i="1"/>
  <c r="A2602" i="1"/>
  <c r="B2601" i="1"/>
  <c r="A2601" i="1"/>
  <c r="B2600" i="1"/>
  <c r="A2600" i="1"/>
  <c r="B2599" i="1"/>
  <c r="A2599" i="1"/>
  <c r="B2598" i="1"/>
  <c r="A2598" i="1"/>
  <c r="B2597" i="1"/>
  <c r="A2597" i="1"/>
  <c r="B2596" i="1"/>
  <c r="A2596" i="1"/>
  <c r="B2595" i="1"/>
  <c r="A2595" i="1"/>
  <c r="B2594" i="1"/>
  <c r="A2594" i="1"/>
  <c r="B2593" i="1"/>
  <c r="A2593" i="1"/>
  <c r="B2592" i="1"/>
  <c r="A2592" i="1"/>
  <c r="B2591" i="1"/>
  <c r="A2591" i="1"/>
  <c r="B2590" i="1"/>
  <c r="A2590" i="1"/>
  <c r="B2589" i="1"/>
  <c r="A2589" i="1"/>
  <c r="B2588" i="1"/>
  <c r="A2588" i="1"/>
  <c r="B2587" i="1"/>
  <c r="A2587" i="1"/>
  <c r="B2586" i="1"/>
  <c r="A2586" i="1"/>
  <c r="B2585" i="1"/>
  <c r="A2585" i="1"/>
  <c r="B2584" i="1"/>
  <c r="A2584" i="1"/>
  <c r="B2583" i="1"/>
  <c r="A2583" i="1"/>
  <c r="B2582" i="1"/>
  <c r="A2582" i="1"/>
  <c r="B2581" i="1"/>
  <c r="A2581" i="1"/>
  <c r="B2580" i="1"/>
  <c r="A2580" i="1"/>
  <c r="B2579" i="1"/>
  <c r="A2579" i="1"/>
  <c r="B2578" i="1"/>
  <c r="A2578" i="1"/>
  <c r="B2577" i="1"/>
  <c r="A2577" i="1"/>
  <c r="B2576" i="1"/>
  <c r="A2576" i="1"/>
  <c r="B2575" i="1"/>
  <c r="A2575" i="1"/>
  <c r="B2574" i="1"/>
  <c r="A2574" i="1"/>
  <c r="B2573" i="1"/>
  <c r="A2573" i="1"/>
  <c r="B2572" i="1"/>
  <c r="A2572" i="1"/>
  <c r="B2571" i="1"/>
  <c r="A2571" i="1"/>
  <c r="B2570" i="1"/>
  <c r="A2570" i="1"/>
  <c r="B2569" i="1"/>
  <c r="A2569" i="1"/>
  <c r="B2568" i="1"/>
  <c r="A2568" i="1"/>
  <c r="B2567" i="1"/>
  <c r="A2567" i="1"/>
  <c r="B2566" i="1"/>
  <c r="A2566" i="1"/>
  <c r="B2565" i="1"/>
  <c r="A2565" i="1"/>
  <c r="B2564" i="1"/>
  <c r="A2564" i="1"/>
  <c r="B2563" i="1"/>
  <c r="A2563" i="1"/>
  <c r="B2562" i="1"/>
  <c r="A2562" i="1"/>
  <c r="B2561" i="1"/>
  <c r="A2561" i="1"/>
  <c r="B2560" i="1"/>
  <c r="A2560" i="1"/>
  <c r="B2559" i="1"/>
  <c r="A2559" i="1"/>
  <c r="B2558" i="1"/>
  <c r="A2558" i="1"/>
  <c r="B2557" i="1"/>
  <c r="A2557" i="1"/>
  <c r="B2556" i="1"/>
  <c r="A2556" i="1"/>
  <c r="B2555" i="1"/>
  <c r="A2555" i="1"/>
  <c r="B2554" i="1"/>
  <c r="A2554" i="1"/>
  <c r="B2553" i="1"/>
  <c r="A2553" i="1"/>
  <c r="B2552" i="1"/>
  <c r="A2552" i="1"/>
  <c r="B2551" i="1"/>
  <c r="A2551" i="1"/>
  <c r="B2550" i="1"/>
  <c r="A2550" i="1"/>
  <c r="B2549" i="1"/>
  <c r="A2549" i="1"/>
  <c r="B2548" i="1"/>
  <c r="A2548" i="1"/>
  <c r="B2547" i="1"/>
  <c r="A2547" i="1"/>
  <c r="B2546" i="1"/>
  <c r="A2546" i="1"/>
  <c r="B2545" i="1"/>
  <c r="A2545" i="1"/>
  <c r="B2544" i="1"/>
  <c r="A2544" i="1"/>
  <c r="B2543" i="1"/>
  <c r="A2543" i="1"/>
  <c r="B2542" i="1"/>
  <c r="A2542" i="1"/>
  <c r="B2541" i="1"/>
  <c r="A2541" i="1"/>
  <c r="B2540" i="1"/>
  <c r="A2540" i="1"/>
  <c r="B2539" i="1"/>
  <c r="A2539" i="1"/>
  <c r="B2538" i="1"/>
  <c r="A2538" i="1"/>
  <c r="B2537" i="1"/>
  <c r="A2537" i="1"/>
  <c r="B2536" i="1"/>
  <c r="A2536" i="1"/>
  <c r="B2535" i="1"/>
  <c r="A2535" i="1"/>
  <c r="B2534" i="1"/>
  <c r="A2534" i="1"/>
  <c r="B2533" i="1"/>
  <c r="A2533" i="1"/>
  <c r="B2532" i="1"/>
  <c r="A2532" i="1"/>
  <c r="B2531" i="1"/>
  <c r="A2531" i="1"/>
  <c r="B2530" i="1"/>
  <c r="A2530" i="1"/>
  <c r="B2529" i="1"/>
  <c r="A2529" i="1"/>
  <c r="B2528" i="1"/>
  <c r="A2528" i="1"/>
  <c r="B2527" i="1"/>
  <c r="A2527" i="1"/>
  <c r="B2526" i="1"/>
  <c r="A2526" i="1"/>
  <c r="B2525" i="1"/>
  <c r="A2525" i="1"/>
  <c r="B2524" i="1"/>
  <c r="A2524" i="1"/>
  <c r="B2523" i="1"/>
  <c r="A2523" i="1"/>
  <c r="B2522" i="1"/>
  <c r="A2522" i="1"/>
  <c r="B2521" i="1"/>
  <c r="A2521" i="1"/>
  <c r="B2520" i="1"/>
  <c r="A2520" i="1"/>
  <c r="B2518" i="1"/>
  <c r="A2518" i="1"/>
  <c r="B2517" i="1"/>
  <c r="A2517" i="1"/>
  <c r="B2516" i="1"/>
  <c r="A2516" i="1"/>
  <c r="B2515" i="1"/>
  <c r="A2515" i="1"/>
  <c r="B2514" i="1"/>
  <c r="A2514" i="1"/>
  <c r="B2513" i="1"/>
  <c r="A2513" i="1"/>
  <c r="B2512" i="1"/>
  <c r="A2512" i="1"/>
  <c r="B2511" i="1"/>
  <c r="A2511" i="1"/>
  <c r="B2510" i="1"/>
  <c r="A2510" i="1"/>
  <c r="B2509" i="1"/>
  <c r="A2509" i="1"/>
  <c r="B2508" i="1"/>
  <c r="A2508" i="1"/>
  <c r="B2507" i="1"/>
  <c r="A2507" i="1"/>
  <c r="B2506" i="1"/>
  <c r="A2506" i="1"/>
  <c r="B2505" i="1"/>
  <c r="A2505" i="1"/>
  <c r="B2504" i="1"/>
  <c r="A2504" i="1"/>
  <c r="B2503" i="1"/>
  <c r="A2503" i="1"/>
  <c r="B2502" i="1"/>
  <c r="A2502" i="1"/>
  <c r="B2501" i="1"/>
  <c r="A2501" i="1"/>
  <c r="B2500" i="1"/>
  <c r="A2500" i="1"/>
  <c r="B2499" i="1"/>
  <c r="A2499" i="1"/>
  <c r="B2498" i="1"/>
  <c r="A2498" i="1"/>
  <c r="B2497" i="1"/>
  <c r="A2497" i="1"/>
  <c r="B2496" i="1"/>
  <c r="A2496" i="1"/>
  <c r="B2495" i="1"/>
  <c r="A2495" i="1"/>
  <c r="B2494" i="1"/>
  <c r="A2494" i="1"/>
  <c r="B2493" i="1"/>
  <c r="A2493" i="1"/>
  <c r="B2491" i="1"/>
  <c r="A2491" i="1"/>
  <c r="B2490" i="1"/>
  <c r="A2490" i="1"/>
  <c r="B2488" i="1"/>
  <c r="A2488" i="1"/>
  <c r="B2486" i="1"/>
  <c r="A2486" i="1"/>
  <c r="B2485" i="1"/>
  <c r="A2485" i="1"/>
  <c r="B2484" i="1"/>
  <c r="A2484" i="1"/>
  <c r="B2482" i="1"/>
  <c r="A2482" i="1"/>
  <c r="B2481" i="1"/>
  <c r="A2481" i="1"/>
  <c r="B2479" i="1"/>
  <c r="A2479" i="1"/>
  <c r="B2478" i="1"/>
  <c r="A2478" i="1"/>
  <c r="B2476" i="1"/>
  <c r="A2476" i="1"/>
  <c r="B2475" i="1"/>
  <c r="A2475" i="1"/>
  <c r="B2474" i="1"/>
  <c r="A2474" i="1"/>
  <c r="B2473" i="1"/>
  <c r="A2473" i="1"/>
  <c r="B2472" i="1"/>
  <c r="A2472" i="1"/>
  <c r="B2471" i="1"/>
  <c r="A2471" i="1"/>
  <c r="B2470" i="1"/>
  <c r="A2470" i="1"/>
  <c r="B2469" i="1"/>
  <c r="A2469" i="1"/>
  <c r="B2468" i="1"/>
  <c r="A2468" i="1"/>
  <c r="B2467" i="1"/>
  <c r="A2467" i="1"/>
  <c r="B2466" i="1"/>
  <c r="A2466" i="1"/>
  <c r="B2465" i="1"/>
  <c r="A2465" i="1"/>
  <c r="B2462" i="1"/>
  <c r="A2462" i="1"/>
  <c r="B2459" i="1"/>
  <c r="A2459" i="1"/>
  <c r="B2457" i="1"/>
  <c r="A2457" i="1"/>
  <c r="B2455" i="1"/>
  <c r="A2455" i="1"/>
  <c r="B2453" i="1"/>
  <c r="A2453" i="1"/>
  <c r="B2452" i="1"/>
  <c r="A2452" i="1"/>
  <c r="B2450" i="1"/>
  <c r="A2450" i="1"/>
  <c r="B2448" i="1"/>
  <c r="A2448" i="1"/>
  <c r="B2447" i="1"/>
  <c r="A2447" i="1"/>
  <c r="B2446" i="1"/>
  <c r="A2446" i="1"/>
  <c r="B2445" i="1"/>
  <c r="A2445" i="1"/>
  <c r="B2444" i="1"/>
  <c r="A2444" i="1"/>
  <c r="B2443" i="1"/>
  <c r="A2443" i="1"/>
  <c r="B2442" i="1"/>
  <c r="A2442" i="1"/>
  <c r="B2441" i="1"/>
  <c r="A2441" i="1"/>
  <c r="B2440" i="1"/>
  <c r="A2440" i="1"/>
  <c r="B2439" i="1"/>
  <c r="A2439" i="1"/>
  <c r="B2438" i="1"/>
  <c r="A2438" i="1"/>
  <c r="B2437" i="1"/>
  <c r="A2437" i="1"/>
  <c r="B2436" i="1"/>
  <c r="A2436" i="1"/>
  <c r="B2435" i="1"/>
  <c r="A2435" i="1"/>
  <c r="B2434" i="1"/>
  <c r="A2434" i="1"/>
  <c r="B2433" i="1"/>
  <c r="A2433" i="1"/>
  <c r="B2432" i="1"/>
  <c r="A2432" i="1"/>
  <c r="B2431" i="1"/>
  <c r="A2431" i="1"/>
  <c r="B2430" i="1"/>
  <c r="A2430" i="1"/>
  <c r="B2429" i="1"/>
  <c r="A2429" i="1"/>
  <c r="B2428" i="1"/>
  <c r="A2428" i="1"/>
  <c r="B2427" i="1"/>
  <c r="A2427" i="1"/>
  <c r="B2426" i="1"/>
  <c r="A2426" i="1"/>
  <c r="B2425" i="1"/>
  <c r="A2425" i="1"/>
  <c r="B2424" i="1"/>
  <c r="A2424" i="1"/>
  <c r="B2423" i="1"/>
  <c r="A2423" i="1"/>
  <c r="B2422" i="1"/>
  <c r="A2422" i="1"/>
  <c r="B2421" i="1"/>
  <c r="A2421" i="1"/>
  <c r="B2420" i="1"/>
  <c r="A2420" i="1"/>
  <c r="B2419" i="1"/>
  <c r="A2419" i="1"/>
  <c r="B2418" i="1"/>
  <c r="A2418" i="1"/>
  <c r="B2417" i="1"/>
  <c r="A2417" i="1"/>
  <c r="B2416" i="1"/>
  <c r="A2416" i="1"/>
  <c r="B2415" i="1"/>
  <c r="A2415" i="1"/>
  <c r="B2414" i="1"/>
  <c r="A2414" i="1"/>
  <c r="B2413" i="1"/>
  <c r="A2413" i="1"/>
  <c r="B2412" i="1"/>
  <c r="A2412" i="1"/>
  <c r="B2411" i="1"/>
  <c r="A2411" i="1"/>
  <c r="B2410" i="1"/>
  <c r="A2410" i="1"/>
  <c r="B2409" i="1"/>
  <c r="A2409" i="1"/>
  <c r="B2408" i="1"/>
  <c r="A2408" i="1"/>
  <c r="B2407" i="1"/>
  <c r="A2407" i="1"/>
  <c r="B2406" i="1"/>
  <c r="A2406" i="1"/>
  <c r="B2405" i="1"/>
  <c r="A2405" i="1"/>
  <c r="B2404" i="1"/>
  <c r="A2404" i="1"/>
  <c r="B2403" i="1"/>
  <c r="A2403" i="1"/>
  <c r="B2402" i="1"/>
  <c r="A2402" i="1"/>
  <c r="B2401" i="1"/>
  <c r="A2401" i="1"/>
  <c r="B2400" i="1"/>
  <c r="A2400" i="1"/>
  <c r="B2399" i="1"/>
  <c r="A2399" i="1"/>
  <c r="B2398" i="1"/>
  <c r="A2398" i="1"/>
  <c r="B2397" i="1"/>
  <c r="A2397" i="1"/>
  <c r="B2396" i="1"/>
  <c r="A2396" i="1"/>
  <c r="B2395" i="1"/>
  <c r="A2395" i="1"/>
  <c r="B2394" i="1"/>
  <c r="A2394" i="1"/>
  <c r="B2393" i="1"/>
  <c r="A2393" i="1"/>
  <c r="B2392" i="1"/>
  <c r="A2392" i="1"/>
  <c r="B2391" i="1"/>
  <c r="A2391" i="1"/>
  <c r="B2390" i="1"/>
  <c r="A2390" i="1"/>
  <c r="B2389" i="1"/>
  <c r="A2389" i="1"/>
  <c r="B2388" i="1"/>
  <c r="A2388" i="1"/>
  <c r="B2387" i="1"/>
  <c r="A2387" i="1"/>
  <c r="B2386" i="1"/>
  <c r="A2386" i="1"/>
  <c r="B2385" i="1"/>
  <c r="A2385" i="1"/>
  <c r="B2384" i="1"/>
  <c r="A2384" i="1"/>
  <c r="B2383" i="1"/>
  <c r="A2383" i="1"/>
  <c r="B2382" i="1"/>
  <c r="A2382" i="1"/>
  <c r="B2381" i="1"/>
  <c r="A2381" i="1"/>
  <c r="B2380" i="1"/>
  <c r="A2380" i="1"/>
  <c r="B2379" i="1"/>
  <c r="A2379" i="1"/>
  <c r="B2378" i="1"/>
  <c r="A2378" i="1"/>
  <c r="B2377" i="1"/>
  <c r="A2377" i="1"/>
  <c r="B2376" i="1"/>
  <c r="A2376" i="1"/>
  <c r="B2375" i="1"/>
  <c r="A2375" i="1"/>
  <c r="B2374" i="1"/>
  <c r="A2374" i="1"/>
  <c r="B2373" i="1"/>
  <c r="A2373" i="1"/>
  <c r="B2372" i="1"/>
  <c r="A2372" i="1"/>
  <c r="B2371" i="1"/>
  <c r="A2371" i="1"/>
  <c r="B2370" i="1"/>
  <c r="A2370" i="1"/>
  <c r="B2369" i="1"/>
  <c r="A2369" i="1"/>
  <c r="B2368" i="1"/>
  <c r="A2368" i="1"/>
  <c r="B2367" i="1"/>
  <c r="A2367" i="1"/>
  <c r="B2366" i="1"/>
  <c r="A2366" i="1"/>
  <c r="B2365" i="1"/>
  <c r="A2365" i="1"/>
  <c r="B2364" i="1"/>
  <c r="A2364" i="1"/>
  <c r="B2363" i="1"/>
  <c r="A2363" i="1"/>
  <c r="B2362" i="1"/>
  <c r="A2362" i="1"/>
  <c r="B2361" i="1"/>
  <c r="A2361" i="1"/>
  <c r="B2360" i="1"/>
  <c r="A2360" i="1"/>
  <c r="B2359" i="1"/>
  <c r="A2359" i="1"/>
  <c r="B2358" i="1"/>
  <c r="A2358" i="1"/>
  <c r="B2357" i="1"/>
  <c r="A2357" i="1"/>
  <c r="B2356" i="1"/>
  <c r="A2356" i="1"/>
  <c r="B2355" i="1"/>
  <c r="A2355" i="1"/>
  <c r="B2354" i="1"/>
  <c r="A2354" i="1"/>
  <c r="B2353" i="1"/>
  <c r="A2353" i="1"/>
  <c r="B2352" i="1"/>
  <c r="A2352" i="1"/>
  <c r="B2351" i="1"/>
  <c r="A2351" i="1"/>
  <c r="B2350" i="1"/>
  <c r="A2350" i="1"/>
  <c r="B2349" i="1"/>
  <c r="A2349" i="1"/>
  <c r="B2348" i="1"/>
  <c r="A2348" i="1"/>
  <c r="B2347" i="1"/>
  <c r="A2347" i="1"/>
  <c r="B2346" i="1"/>
  <c r="A2346" i="1"/>
  <c r="B2345" i="1"/>
  <c r="A2345" i="1"/>
  <c r="B2344" i="1"/>
  <c r="A2344" i="1"/>
  <c r="B2343" i="1"/>
  <c r="A2343" i="1"/>
  <c r="B2342" i="1"/>
  <c r="A2342" i="1"/>
  <c r="B2341" i="1"/>
  <c r="A2341" i="1"/>
  <c r="B2340" i="1"/>
  <c r="A2340" i="1"/>
  <c r="B2339" i="1"/>
  <c r="A2339" i="1"/>
  <c r="B2338" i="1"/>
  <c r="A2338" i="1"/>
  <c r="B2337" i="1"/>
  <c r="A2337" i="1"/>
  <c r="B2336" i="1"/>
  <c r="A2336" i="1"/>
  <c r="B2335" i="1"/>
  <c r="A2335" i="1"/>
  <c r="B2334" i="1"/>
  <c r="A2334" i="1"/>
  <c r="B2333" i="1"/>
  <c r="A2333" i="1"/>
  <c r="B2332" i="1"/>
  <c r="A2332" i="1"/>
  <c r="B2331" i="1"/>
  <c r="A2331" i="1"/>
  <c r="B2330" i="1"/>
  <c r="A2330" i="1"/>
  <c r="B2329" i="1"/>
  <c r="A2329" i="1"/>
  <c r="B2328" i="1"/>
  <c r="A2328" i="1"/>
  <c r="B2327" i="1"/>
  <c r="A2327" i="1"/>
  <c r="B2326" i="1"/>
  <c r="A2326" i="1"/>
  <c r="B2325" i="1"/>
  <c r="A2325" i="1"/>
  <c r="B2324" i="1"/>
  <c r="A2324" i="1"/>
  <c r="B2323" i="1"/>
  <c r="A2323" i="1"/>
  <c r="B2322" i="1"/>
  <c r="A2322" i="1"/>
  <c r="B2321" i="1"/>
  <c r="A2321" i="1"/>
  <c r="B2320" i="1"/>
  <c r="A2320" i="1"/>
  <c r="B2319" i="1"/>
  <c r="A2319" i="1"/>
  <c r="B2318" i="1"/>
  <c r="A2318" i="1"/>
  <c r="B2317" i="1"/>
  <c r="A2317" i="1"/>
  <c r="B2316" i="1"/>
  <c r="A2316" i="1"/>
  <c r="B2315" i="1"/>
  <c r="A2315" i="1"/>
  <c r="B2314" i="1"/>
  <c r="A2314" i="1"/>
  <c r="B2313" i="1"/>
  <c r="A2313" i="1"/>
  <c r="B2312" i="1"/>
  <c r="A2312" i="1"/>
  <c r="B2311" i="1"/>
  <c r="A2311" i="1"/>
  <c r="B2310" i="1"/>
  <c r="A2310" i="1"/>
  <c r="B2309" i="1"/>
  <c r="A2309" i="1"/>
  <c r="B2308" i="1"/>
  <c r="A2308" i="1"/>
  <c r="B2307" i="1"/>
  <c r="A2307" i="1"/>
  <c r="B2306" i="1"/>
  <c r="A2306" i="1"/>
  <c r="B2305" i="1"/>
  <c r="A2305" i="1"/>
  <c r="B2304" i="1"/>
  <c r="A2304" i="1"/>
  <c r="B2303" i="1"/>
  <c r="A2303" i="1"/>
  <c r="B2302" i="1"/>
  <c r="A2302" i="1"/>
  <c r="B2301" i="1"/>
  <c r="A2301" i="1"/>
  <c r="B2300" i="1"/>
  <c r="A2300" i="1"/>
  <c r="B2299" i="1"/>
  <c r="A2299" i="1"/>
  <c r="B2298" i="1"/>
  <c r="A2298" i="1"/>
  <c r="B2297" i="1"/>
  <c r="A2297" i="1"/>
  <c r="B2296" i="1"/>
  <c r="A2296" i="1"/>
  <c r="B2295" i="1"/>
  <c r="A2295" i="1"/>
  <c r="B2294" i="1"/>
  <c r="A2294" i="1"/>
  <c r="B2293" i="1"/>
  <c r="A2293" i="1"/>
  <c r="B2292" i="1"/>
  <c r="A2292" i="1"/>
  <c r="B2291" i="1"/>
  <c r="A2291" i="1"/>
  <c r="B2290" i="1"/>
  <c r="A2290" i="1"/>
  <c r="B2289" i="1"/>
  <c r="A2289" i="1"/>
  <c r="B2288" i="1"/>
  <c r="A2288" i="1"/>
  <c r="B2287" i="1"/>
  <c r="A2287" i="1"/>
  <c r="B2286" i="1"/>
  <c r="A2286" i="1"/>
  <c r="B2285" i="1"/>
  <c r="A2285" i="1"/>
  <c r="B2284" i="1"/>
  <c r="A2284" i="1"/>
  <c r="B2283" i="1"/>
  <c r="A2283" i="1"/>
  <c r="B2282" i="1"/>
  <c r="A2282" i="1"/>
  <c r="B2281" i="1"/>
  <c r="A2281" i="1"/>
  <c r="B2280" i="1"/>
  <c r="A2280" i="1"/>
  <c r="B2279" i="1"/>
  <c r="A2279" i="1"/>
  <c r="B2278" i="1"/>
  <c r="A2278" i="1"/>
  <c r="B2277" i="1"/>
  <c r="A2277" i="1"/>
  <c r="B2276" i="1"/>
  <c r="A2276" i="1"/>
  <c r="B2275" i="1"/>
  <c r="A2275" i="1"/>
  <c r="B2274" i="1"/>
  <c r="A2274" i="1"/>
  <c r="B2273" i="1"/>
  <c r="A2273" i="1"/>
  <c r="B2272" i="1"/>
  <c r="A2272" i="1"/>
  <c r="B2271" i="1"/>
  <c r="A2271" i="1"/>
  <c r="B2270" i="1"/>
  <c r="A2270" i="1"/>
  <c r="B2269" i="1"/>
  <c r="A2269" i="1"/>
  <c r="B2268" i="1"/>
  <c r="A2268" i="1"/>
  <c r="B2267" i="1"/>
  <c r="A2267" i="1"/>
  <c r="B2266" i="1"/>
  <c r="A2266" i="1"/>
  <c r="B2265" i="1"/>
  <c r="A2265" i="1"/>
  <c r="B2264" i="1"/>
  <c r="A2264" i="1"/>
  <c r="B2263" i="1"/>
  <c r="A2263" i="1"/>
  <c r="B2262" i="1"/>
  <c r="A2262" i="1"/>
  <c r="B2261" i="1"/>
  <c r="A2261" i="1"/>
  <c r="B2260" i="1"/>
  <c r="A2260" i="1"/>
  <c r="B2259" i="1"/>
  <c r="A2259" i="1"/>
  <c r="B2258" i="1"/>
  <c r="A2258" i="1"/>
  <c r="B2257" i="1"/>
  <c r="A2257" i="1"/>
  <c r="B2256" i="1"/>
  <c r="A2256" i="1"/>
  <c r="B2255" i="1"/>
  <c r="A2255" i="1"/>
  <c r="B2254" i="1"/>
  <c r="A2254" i="1"/>
  <c r="B2253" i="1"/>
  <c r="A2253" i="1"/>
  <c r="B2252" i="1"/>
  <c r="A2252" i="1"/>
  <c r="B2251" i="1"/>
  <c r="A2251" i="1"/>
  <c r="B2250" i="1"/>
  <c r="A2250" i="1"/>
  <c r="B2249" i="1"/>
  <c r="A2249" i="1"/>
  <c r="B2248" i="1"/>
  <c r="A2248" i="1"/>
  <c r="B2247" i="1"/>
  <c r="A2247" i="1"/>
  <c r="B2246" i="1"/>
  <c r="A2246" i="1"/>
  <c r="B2245" i="1"/>
  <c r="A2245" i="1"/>
  <c r="B2244" i="1"/>
  <c r="A2244" i="1"/>
  <c r="B2243" i="1"/>
  <c r="A2243" i="1"/>
  <c r="B2242" i="1"/>
  <c r="A2242" i="1"/>
  <c r="B2241" i="1"/>
  <c r="A2241" i="1"/>
  <c r="B2240" i="1"/>
  <c r="A2240" i="1"/>
  <c r="B2239" i="1"/>
  <c r="A2239" i="1"/>
  <c r="B2238" i="1"/>
  <c r="A2238" i="1"/>
  <c r="B2237" i="1"/>
  <c r="A2237" i="1"/>
  <c r="B2236" i="1"/>
  <c r="A2236" i="1"/>
  <c r="B2235" i="1"/>
  <c r="A2235" i="1"/>
  <c r="B2234" i="1"/>
  <c r="A2234" i="1"/>
  <c r="B2233" i="1"/>
  <c r="A2233" i="1"/>
  <c r="B2232" i="1"/>
  <c r="A2232" i="1"/>
  <c r="B2231" i="1"/>
  <c r="A2231" i="1"/>
  <c r="B2230" i="1"/>
  <c r="A2230" i="1"/>
  <c r="B2229" i="1"/>
  <c r="A2229" i="1"/>
  <c r="B2228" i="1"/>
  <c r="A2228" i="1"/>
  <c r="B2227" i="1"/>
  <c r="A2227" i="1"/>
  <c r="B2226" i="1"/>
  <c r="A2226" i="1"/>
  <c r="B2225" i="1"/>
  <c r="A2225" i="1"/>
  <c r="B2224" i="1"/>
  <c r="A2224" i="1"/>
  <c r="B2223" i="1"/>
  <c r="A2223" i="1"/>
  <c r="B2222" i="1"/>
  <c r="A2222" i="1"/>
  <c r="B2221" i="1"/>
  <c r="A2221" i="1"/>
  <c r="B2220" i="1"/>
  <c r="A2220" i="1"/>
  <c r="B2219" i="1"/>
  <c r="A2219" i="1"/>
  <c r="B2218" i="1"/>
  <c r="A2218" i="1"/>
  <c r="B2217" i="1"/>
  <c r="A2217" i="1"/>
  <c r="B2216" i="1"/>
  <c r="A2216" i="1"/>
  <c r="B2215" i="1"/>
  <c r="A2215" i="1"/>
  <c r="B2214" i="1"/>
  <c r="A2214" i="1"/>
  <c r="B2213" i="1"/>
  <c r="A2213" i="1"/>
  <c r="B2212" i="1"/>
  <c r="A2212" i="1"/>
  <c r="B2211" i="1"/>
  <c r="A2211" i="1"/>
  <c r="B2210" i="1"/>
  <c r="A2210" i="1"/>
  <c r="B2209" i="1"/>
  <c r="A2209" i="1"/>
  <c r="B2208" i="1"/>
  <c r="A2208" i="1"/>
  <c r="B2207" i="1"/>
  <c r="A2207" i="1"/>
  <c r="B2206" i="1"/>
  <c r="A2206" i="1"/>
  <c r="B2205" i="1"/>
  <c r="A2205" i="1"/>
  <c r="B2204" i="1"/>
  <c r="A2204" i="1"/>
  <c r="B2203" i="1"/>
  <c r="A2203" i="1"/>
  <c r="B2202" i="1"/>
  <c r="A2202" i="1"/>
  <c r="B2201" i="1"/>
  <c r="A2201" i="1"/>
  <c r="B2200" i="1"/>
  <c r="A2200" i="1"/>
  <c r="B2199" i="1"/>
  <c r="A2199" i="1"/>
  <c r="B2198" i="1"/>
  <c r="A2198" i="1"/>
  <c r="B2197" i="1"/>
  <c r="A2197" i="1"/>
  <c r="B2196" i="1"/>
  <c r="A2196" i="1"/>
  <c r="B2195" i="1"/>
  <c r="A2195" i="1"/>
  <c r="B2194" i="1"/>
  <c r="A2194" i="1"/>
  <c r="B2193" i="1"/>
  <c r="A2193" i="1"/>
  <c r="B2192" i="1"/>
  <c r="A2192" i="1"/>
  <c r="B2191" i="1"/>
  <c r="A2191" i="1"/>
  <c r="B2190" i="1"/>
  <c r="A2190" i="1"/>
  <c r="B2189" i="1"/>
  <c r="A2189" i="1"/>
  <c r="B2188" i="1"/>
  <c r="A2188" i="1"/>
  <c r="B2187" i="1"/>
  <c r="A2187" i="1"/>
  <c r="B2186" i="1"/>
  <c r="A2186" i="1"/>
  <c r="B2185" i="1"/>
  <c r="A2185" i="1"/>
  <c r="B2184" i="1"/>
  <c r="A2184" i="1"/>
  <c r="B2183" i="1"/>
  <c r="A2183" i="1"/>
  <c r="B2182" i="1"/>
  <c r="A2182" i="1"/>
  <c r="B2181" i="1"/>
  <c r="A2181" i="1"/>
  <c r="B2180" i="1"/>
  <c r="A2180" i="1"/>
  <c r="B2179" i="1"/>
  <c r="A2179" i="1"/>
  <c r="B2178" i="1"/>
  <c r="A2178" i="1"/>
  <c r="B2177" i="1"/>
  <c r="A2177" i="1"/>
  <c r="B2176" i="1"/>
  <c r="A2176" i="1"/>
  <c r="B2175" i="1"/>
  <c r="A2175" i="1"/>
  <c r="B2174" i="1"/>
  <c r="A2174" i="1"/>
  <c r="B2173" i="1"/>
  <c r="A2173" i="1"/>
  <c r="B2172" i="1"/>
  <c r="A2172" i="1"/>
  <c r="B2171" i="1"/>
  <c r="A2171" i="1"/>
  <c r="B2170" i="1"/>
  <c r="A2170" i="1"/>
  <c r="B2169" i="1"/>
  <c r="A2169" i="1"/>
  <c r="B2168" i="1"/>
  <c r="A2168" i="1"/>
  <c r="B2167" i="1"/>
  <c r="A2167" i="1"/>
  <c r="B2166" i="1"/>
  <c r="A2166" i="1"/>
  <c r="B2165" i="1"/>
  <c r="A2165" i="1"/>
  <c r="B2164" i="1"/>
  <c r="A2164" i="1"/>
  <c r="B2163" i="1"/>
  <c r="A2163" i="1"/>
  <c r="B2162" i="1"/>
  <c r="A2162" i="1"/>
  <c r="B2161" i="1"/>
  <c r="A2161" i="1"/>
  <c r="B2160" i="1"/>
  <c r="A2160" i="1"/>
  <c r="B2159" i="1"/>
  <c r="A2159" i="1"/>
  <c r="B2158" i="1"/>
  <c r="A2158" i="1"/>
  <c r="B2157" i="1"/>
  <c r="A2157" i="1"/>
  <c r="B2156" i="1"/>
  <c r="A2156" i="1"/>
  <c r="B2155" i="1"/>
  <c r="A2155" i="1"/>
  <c r="B2154" i="1"/>
  <c r="A2154" i="1"/>
  <c r="B2153" i="1"/>
  <c r="A2153" i="1"/>
  <c r="B2152" i="1"/>
  <c r="A2152" i="1"/>
  <c r="B2151" i="1"/>
  <c r="A2151" i="1"/>
  <c r="B2150" i="1"/>
  <c r="A2150" i="1"/>
  <c r="B2149" i="1"/>
  <c r="A2149" i="1"/>
  <c r="B2148" i="1"/>
  <c r="A2148" i="1"/>
  <c r="B2147" i="1"/>
  <c r="A2147" i="1"/>
  <c r="B2146" i="1"/>
  <c r="A2146" i="1"/>
  <c r="B2145" i="1"/>
  <c r="A2145" i="1"/>
  <c r="B2144" i="1"/>
  <c r="A2144" i="1"/>
  <c r="B2143" i="1"/>
  <c r="A2143" i="1"/>
  <c r="B2142" i="1"/>
  <c r="A2142" i="1"/>
  <c r="B2141" i="1"/>
  <c r="A2141" i="1"/>
  <c r="B2140" i="1"/>
  <c r="A2140" i="1"/>
  <c r="B2139" i="1"/>
  <c r="A2139" i="1"/>
  <c r="B2138" i="1"/>
  <c r="A2138" i="1"/>
  <c r="B2137" i="1"/>
  <c r="A2137" i="1"/>
  <c r="B2136" i="1"/>
  <c r="A2136" i="1"/>
  <c r="B2135" i="1"/>
  <c r="A2135" i="1"/>
  <c r="B2134" i="1"/>
  <c r="A2134" i="1"/>
  <c r="B2133" i="1"/>
  <c r="A2133" i="1"/>
  <c r="B2132" i="1"/>
  <c r="A2132" i="1"/>
  <c r="B2131" i="1"/>
  <c r="A2131" i="1"/>
  <c r="B2130" i="1"/>
  <c r="A2130" i="1"/>
  <c r="B2129" i="1"/>
  <c r="A2129" i="1"/>
  <c r="B2128" i="1"/>
  <c r="A2128" i="1"/>
  <c r="B2127" i="1"/>
  <c r="A2127" i="1"/>
  <c r="B2126" i="1"/>
  <c r="A2126" i="1"/>
  <c r="B2125" i="1"/>
  <c r="A2125" i="1"/>
  <c r="B2124" i="1"/>
  <c r="A2124" i="1"/>
  <c r="B2123" i="1"/>
  <c r="A2123" i="1"/>
  <c r="B2122" i="1"/>
  <c r="A2122" i="1"/>
  <c r="B2121" i="1"/>
  <c r="A2121" i="1"/>
  <c r="B2120" i="1"/>
  <c r="A2120" i="1"/>
  <c r="B2119" i="1"/>
  <c r="A2119" i="1"/>
  <c r="B2118" i="1"/>
  <c r="A2118" i="1"/>
  <c r="B2117" i="1"/>
  <c r="A2117" i="1"/>
  <c r="B2116" i="1"/>
  <c r="A2116" i="1"/>
  <c r="B2115" i="1"/>
  <c r="A2115" i="1"/>
  <c r="B2114" i="1"/>
  <c r="A2114" i="1"/>
  <c r="B2113" i="1"/>
  <c r="A2113" i="1"/>
  <c r="B2112" i="1"/>
  <c r="A2112" i="1"/>
  <c r="B2111" i="1"/>
  <c r="A2111" i="1"/>
  <c r="B2110" i="1"/>
  <c r="A2110" i="1"/>
  <c r="B2109" i="1"/>
  <c r="A2109" i="1"/>
  <c r="B2107" i="1"/>
  <c r="A2107" i="1"/>
  <c r="B2106" i="1"/>
  <c r="A2106" i="1"/>
  <c r="B2105" i="1"/>
  <c r="A2105" i="1"/>
  <c r="B2104" i="1"/>
  <c r="A2104" i="1"/>
  <c r="B2103" i="1"/>
  <c r="A2103" i="1"/>
  <c r="B2102" i="1"/>
  <c r="A2102" i="1"/>
  <c r="B2101" i="1"/>
  <c r="A2101" i="1"/>
  <c r="B2100" i="1"/>
  <c r="A2100" i="1"/>
  <c r="B2099" i="1"/>
  <c r="A2099" i="1"/>
  <c r="B2098" i="1"/>
  <c r="A2098" i="1"/>
  <c r="B2097" i="1"/>
  <c r="A2097" i="1"/>
  <c r="B2096" i="1"/>
  <c r="A2096" i="1"/>
  <c r="B2095" i="1"/>
  <c r="A2095" i="1"/>
  <c r="B2094" i="1"/>
  <c r="A2094" i="1"/>
  <c r="B2093" i="1"/>
  <c r="A2093" i="1"/>
  <c r="B2092" i="1"/>
  <c r="A2092" i="1"/>
  <c r="B2091" i="1"/>
  <c r="A2091" i="1"/>
  <c r="B2090" i="1"/>
  <c r="A2090" i="1"/>
  <c r="B2089" i="1"/>
  <c r="A2089" i="1"/>
  <c r="B2088" i="1"/>
  <c r="A2088" i="1"/>
  <c r="B2087" i="1"/>
  <c r="A2087" i="1"/>
  <c r="B2086" i="1"/>
  <c r="A2086" i="1"/>
  <c r="B2085" i="1"/>
  <c r="A2085" i="1"/>
  <c r="B2084" i="1"/>
  <c r="A2084" i="1"/>
  <c r="B2083" i="1"/>
  <c r="A2083" i="1"/>
  <c r="B2082" i="1"/>
  <c r="A2082" i="1"/>
  <c r="B2081" i="1"/>
  <c r="A2081" i="1"/>
  <c r="B2080" i="1"/>
  <c r="A2080" i="1"/>
  <c r="B2079" i="1"/>
  <c r="A2079" i="1"/>
  <c r="B2078" i="1"/>
  <c r="A2078" i="1"/>
  <c r="B2077" i="1"/>
  <c r="A2077" i="1"/>
  <c r="B2076" i="1"/>
  <c r="A2076" i="1"/>
  <c r="B2075" i="1"/>
  <c r="A2075" i="1"/>
  <c r="B2074" i="1"/>
  <c r="A2074" i="1"/>
  <c r="B2073" i="1"/>
  <c r="A2073" i="1"/>
  <c r="B2072" i="1"/>
  <c r="A2072" i="1"/>
  <c r="B2071" i="1"/>
  <c r="A2071" i="1"/>
  <c r="B2070" i="1"/>
  <c r="A2070" i="1"/>
  <c r="B2069" i="1"/>
  <c r="A2069" i="1"/>
  <c r="B2068" i="1"/>
  <c r="A2068" i="1"/>
  <c r="B2067" i="1"/>
  <c r="A2067" i="1"/>
  <c r="B2066" i="1"/>
  <c r="A2066" i="1"/>
  <c r="B2065" i="1"/>
  <c r="A2065" i="1"/>
  <c r="B2064" i="1"/>
  <c r="A2064" i="1"/>
  <c r="B2063" i="1"/>
  <c r="A2063" i="1"/>
  <c r="B2062" i="1"/>
  <c r="A2062" i="1"/>
  <c r="B2061" i="1"/>
  <c r="A2061" i="1"/>
  <c r="B2060" i="1"/>
  <c r="A2060" i="1"/>
  <c r="B2059" i="1"/>
  <c r="A2059" i="1"/>
  <c r="B2058" i="1"/>
  <c r="A2058" i="1"/>
  <c r="B2057" i="1"/>
  <c r="A2057" i="1"/>
  <c r="B2056" i="1"/>
  <c r="A2056" i="1"/>
  <c r="B2055" i="1"/>
  <c r="A2055" i="1"/>
  <c r="B2054" i="1"/>
  <c r="A2054" i="1"/>
  <c r="B2053" i="1"/>
  <c r="A2053" i="1"/>
  <c r="B2052" i="1"/>
  <c r="A2052" i="1"/>
  <c r="B2051" i="1"/>
  <c r="A2051" i="1"/>
  <c r="B2050" i="1"/>
  <c r="A2050" i="1"/>
  <c r="B2049" i="1"/>
  <c r="A2049" i="1"/>
  <c r="B2048" i="1"/>
  <c r="A2048" i="1"/>
  <c r="B2047" i="1"/>
  <c r="A2047" i="1"/>
  <c r="B2046" i="1"/>
  <c r="A2046" i="1"/>
  <c r="B2045" i="1"/>
  <c r="A2045" i="1"/>
  <c r="B2044" i="1"/>
  <c r="A2044" i="1"/>
  <c r="B2043" i="1"/>
  <c r="A2043" i="1"/>
  <c r="B2042" i="1"/>
  <c r="A2042" i="1"/>
  <c r="B2041" i="1"/>
  <c r="A2041" i="1"/>
  <c r="B2040" i="1"/>
  <c r="A2040" i="1"/>
  <c r="B2039" i="1"/>
  <c r="A2039" i="1"/>
  <c r="B2038" i="1"/>
  <c r="A2038" i="1"/>
  <c r="B2037" i="1"/>
  <c r="A2037" i="1"/>
  <c r="B2036" i="1"/>
  <c r="A2036" i="1"/>
  <c r="B2035" i="1"/>
  <c r="A2035" i="1"/>
  <c r="B2034" i="1"/>
  <c r="A2034" i="1"/>
  <c r="B2033" i="1"/>
  <c r="A2033" i="1"/>
  <c r="B2032" i="1"/>
  <c r="A2032" i="1"/>
  <c r="B2031" i="1"/>
  <c r="A2031" i="1"/>
  <c r="B2030" i="1"/>
  <c r="A2030" i="1"/>
  <c r="B2029" i="1"/>
  <c r="A2029" i="1"/>
  <c r="B2028" i="1"/>
  <c r="A2028" i="1"/>
  <c r="B2027" i="1"/>
  <c r="A2027" i="1"/>
  <c r="B2026" i="1"/>
  <c r="A2026" i="1"/>
  <c r="B2025" i="1"/>
  <c r="A2025" i="1"/>
  <c r="B2024" i="1"/>
  <c r="A2024" i="1"/>
  <c r="B2023" i="1"/>
  <c r="A2023" i="1"/>
  <c r="B2022" i="1"/>
  <c r="A2022" i="1"/>
  <c r="B2021" i="1"/>
  <c r="A2021" i="1"/>
  <c r="B2020" i="1"/>
  <c r="A2020" i="1"/>
  <c r="B2019" i="1"/>
  <c r="A2019" i="1"/>
  <c r="B2018" i="1"/>
  <c r="A2018" i="1"/>
  <c r="B2017" i="1"/>
  <c r="A2017" i="1"/>
  <c r="B2016" i="1"/>
  <c r="A2016" i="1"/>
  <c r="B2015" i="1"/>
  <c r="A2015" i="1"/>
  <c r="B2014" i="1"/>
  <c r="A2014" i="1"/>
  <c r="B2013" i="1"/>
  <c r="A2013" i="1"/>
  <c r="B2012" i="1"/>
  <c r="A2012" i="1"/>
  <c r="B2011" i="1"/>
  <c r="A2011" i="1"/>
  <c r="B2010" i="1"/>
  <c r="A2010" i="1"/>
  <c r="B2009" i="1"/>
  <c r="A2009" i="1"/>
  <c r="B2008" i="1"/>
  <c r="A2008" i="1"/>
  <c r="B2007" i="1"/>
  <c r="A2007" i="1"/>
  <c r="B2006" i="1"/>
  <c r="A2006" i="1"/>
  <c r="B2005" i="1"/>
  <c r="A2005" i="1"/>
  <c r="B2004" i="1"/>
  <c r="A2004" i="1"/>
  <c r="B2003" i="1"/>
  <c r="A2003" i="1"/>
  <c r="B2002" i="1"/>
  <c r="A2002" i="1"/>
  <c r="B2001" i="1"/>
  <c r="A2001" i="1"/>
  <c r="B2000" i="1"/>
  <c r="A2000" i="1"/>
  <c r="B1999" i="1"/>
  <c r="A1999" i="1"/>
  <c r="B1998" i="1"/>
  <c r="A1998" i="1"/>
  <c r="B1997" i="1"/>
  <c r="A1997" i="1"/>
  <c r="B1996" i="1"/>
  <c r="A1996" i="1"/>
  <c r="B1995" i="1"/>
  <c r="A1995" i="1"/>
  <c r="B1994" i="1"/>
  <c r="A1994" i="1"/>
  <c r="B1993" i="1"/>
  <c r="A1993" i="1"/>
  <c r="B1992" i="1"/>
  <c r="A1992" i="1"/>
  <c r="B1991" i="1"/>
  <c r="A1991" i="1"/>
  <c r="B1990" i="1"/>
  <c r="A1990" i="1"/>
  <c r="B1989" i="1"/>
  <c r="A1989" i="1"/>
  <c r="B1988" i="1"/>
  <c r="A1988" i="1"/>
  <c r="B1987" i="1"/>
  <c r="A1987" i="1"/>
  <c r="B1986" i="1"/>
  <c r="A1986" i="1"/>
  <c r="B1985" i="1"/>
  <c r="A1985" i="1"/>
  <c r="B1984" i="1"/>
  <c r="A1984" i="1"/>
  <c r="B1983" i="1"/>
  <c r="A1983" i="1"/>
  <c r="B1982" i="1"/>
  <c r="A1982" i="1"/>
  <c r="B1981" i="1"/>
  <c r="A1981" i="1"/>
  <c r="B1980" i="1"/>
  <c r="A1980" i="1"/>
  <c r="B1979" i="1"/>
  <c r="A1979" i="1"/>
  <c r="B1978" i="1"/>
  <c r="A1978" i="1"/>
  <c r="B1977" i="1"/>
  <c r="A1977" i="1"/>
  <c r="B1976" i="1"/>
  <c r="A1976" i="1"/>
  <c r="B1975" i="1"/>
  <c r="A1975" i="1"/>
  <c r="B1974" i="1"/>
  <c r="A1974" i="1"/>
  <c r="B1973" i="1"/>
  <c r="A1973" i="1"/>
  <c r="B1972" i="1"/>
  <c r="A1972" i="1"/>
  <c r="B1971" i="1"/>
  <c r="A1971" i="1"/>
  <c r="B1970" i="1"/>
  <c r="A1970" i="1"/>
  <c r="B1969" i="1"/>
  <c r="A1969" i="1"/>
  <c r="B1968" i="1"/>
  <c r="A1968" i="1"/>
  <c r="B1967" i="1"/>
  <c r="A1967" i="1"/>
  <c r="B1966" i="1"/>
  <c r="A1966" i="1"/>
  <c r="B1965" i="1"/>
  <c r="A1965" i="1"/>
  <c r="B1964" i="1"/>
  <c r="A1964" i="1"/>
  <c r="B1963" i="1"/>
  <c r="A1963" i="1"/>
  <c r="B1962" i="1"/>
  <c r="A1962" i="1"/>
  <c r="B1961" i="1"/>
  <c r="A1961" i="1"/>
  <c r="B1960" i="1"/>
  <c r="A1960" i="1"/>
  <c r="B1959" i="1"/>
  <c r="A1959" i="1"/>
  <c r="B1958" i="1"/>
  <c r="A1958" i="1"/>
  <c r="B1957" i="1"/>
  <c r="A1957" i="1"/>
  <c r="B1956" i="1"/>
  <c r="A1956" i="1"/>
  <c r="B1955" i="1"/>
  <c r="A1955" i="1"/>
  <c r="B1954" i="1"/>
  <c r="A1954" i="1"/>
  <c r="B1953" i="1"/>
  <c r="A1953" i="1"/>
  <c r="B1952" i="1"/>
  <c r="A1952" i="1"/>
  <c r="B1951" i="1"/>
  <c r="A1951" i="1"/>
  <c r="B1950" i="1"/>
  <c r="A1950" i="1"/>
  <c r="B1949" i="1"/>
  <c r="A1949" i="1"/>
  <c r="B1948" i="1"/>
  <c r="A1948" i="1"/>
  <c r="B1947" i="1"/>
  <c r="A1947" i="1"/>
  <c r="B1946" i="1"/>
  <c r="A1946" i="1"/>
  <c r="B1945" i="1"/>
  <c r="A1945" i="1"/>
  <c r="B1944" i="1"/>
  <c r="A1944" i="1"/>
  <c r="B1943" i="1"/>
  <c r="A1943" i="1"/>
  <c r="B1942" i="1"/>
  <c r="A1942" i="1"/>
  <c r="B1941" i="1"/>
  <c r="A1941" i="1"/>
  <c r="B1940" i="1"/>
  <c r="A1940" i="1"/>
  <c r="B1939" i="1"/>
  <c r="A1939" i="1"/>
  <c r="B1938" i="1"/>
  <c r="A1938" i="1"/>
  <c r="B1937" i="1"/>
  <c r="A1937" i="1"/>
  <c r="B1936" i="1"/>
  <c r="A1936" i="1"/>
  <c r="B1935" i="1"/>
  <c r="A1935" i="1"/>
  <c r="B1934" i="1"/>
  <c r="A1934" i="1"/>
  <c r="B1933" i="1"/>
  <c r="A1933" i="1"/>
  <c r="B1932" i="1"/>
  <c r="A1932" i="1"/>
  <c r="B1931" i="1"/>
  <c r="A1931" i="1"/>
  <c r="B1930" i="1"/>
  <c r="A1930" i="1"/>
  <c r="B1929" i="1"/>
  <c r="A1929" i="1"/>
  <c r="B1928" i="1"/>
  <c r="A1928" i="1"/>
  <c r="B1927" i="1"/>
  <c r="A1927" i="1"/>
  <c r="B1926" i="1"/>
  <c r="A1926" i="1"/>
  <c r="B1925" i="1"/>
  <c r="A1925" i="1"/>
  <c r="B1924" i="1"/>
  <c r="A1924" i="1"/>
  <c r="B1923" i="1"/>
  <c r="A1923" i="1"/>
  <c r="B1922" i="1"/>
  <c r="A1922" i="1"/>
  <c r="B1921" i="1"/>
  <c r="A1921" i="1"/>
  <c r="B1920" i="1"/>
  <c r="A1920" i="1"/>
  <c r="B1919" i="1"/>
  <c r="A1919" i="1"/>
  <c r="B1918" i="1"/>
  <c r="A1918" i="1"/>
  <c r="B1917" i="1"/>
  <c r="A1917" i="1"/>
  <c r="B1916" i="1"/>
  <c r="A1916" i="1"/>
  <c r="B1915" i="1"/>
  <c r="A1915" i="1"/>
  <c r="B1914" i="1"/>
  <c r="A1914" i="1"/>
  <c r="B1913" i="1"/>
  <c r="A1913" i="1"/>
  <c r="B1912" i="1"/>
  <c r="A1912" i="1"/>
  <c r="B1911" i="1"/>
  <c r="A1911" i="1"/>
  <c r="B1910" i="1"/>
  <c r="A1910" i="1"/>
  <c r="B1909" i="1"/>
  <c r="A1909" i="1"/>
  <c r="B1908" i="1"/>
  <c r="A1908" i="1"/>
  <c r="B1907" i="1"/>
  <c r="A1907" i="1"/>
  <c r="B1906" i="1"/>
  <c r="A1906" i="1"/>
  <c r="B1905" i="1"/>
  <c r="A1905" i="1"/>
  <c r="B1904" i="1"/>
  <c r="A1904" i="1"/>
  <c r="B1903" i="1"/>
  <c r="A1903" i="1"/>
  <c r="B1902" i="1"/>
  <c r="A1902" i="1"/>
  <c r="B1901" i="1"/>
  <c r="A1901" i="1"/>
  <c r="B1900" i="1"/>
  <c r="A1900" i="1"/>
  <c r="B1899" i="1"/>
  <c r="A1899" i="1"/>
  <c r="B1898" i="1"/>
  <c r="A1898" i="1"/>
  <c r="B1897" i="1"/>
  <c r="A1897" i="1"/>
  <c r="B1896" i="1"/>
  <c r="A1896" i="1"/>
  <c r="B1895" i="1"/>
  <c r="A1895" i="1"/>
  <c r="B1894" i="1"/>
  <c r="A1894" i="1"/>
  <c r="B1893" i="1"/>
  <c r="A1893" i="1"/>
  <c r="B1892" i="1"/>
  <c r="A1892" i="1"/>
  <c r="B1891" i="1"/>
  <c r="A1891" i="1"/>
  <c r="B1890" i="1"/>
  <c r="A1890" i="1"/>
  <c r="B1889" i="1"/>
  <c r="A1889" i="1"/>
  <c r="B1888" i="1"/>
  <c r="A1888" i="1"/>
  <c r="B1887" i="1"/>
  <c r="A1887" i="1"/>
  <c r="B1886" i="1"/>
  <c r="A1886" i="1"/>
  <c r="B1885" i="1"/>
  <c r="A1885" i="1"/>
  <c r="B1884" i="1"/>
  <c r="A1884" i="1"/>
  <c r="B1883" i="1"/>
  <c r="A1883" i="1"/>
  <c r="B1882" i="1"/>
  <c r="A1882" i="1"/>
  <c r="B1881" i="1"/>
  <c r="A1881" i="1"/>
  <c r="B1880" i="1"/>
  <c r="A1880" i="1"/>
  <c r="B1879" i="1"/>
  <c r="A1879" i="1"/>
  <c r="B1878" i="1"/>
  <c r="A1878" i="1"/>
  <c r="B1877" i="1"/>
  <c r="A1877" i="1"/>
  <c r="B1876" i="1"/>
  <c r="A1876" i="1"/>
  <c r="B1875" i="1"/>
  <c r="A1875" i="1"/>
  <c r="B1874" i="1"/>
  <c r="A1874" i="1"/>
  <c r="B1873" i="1"/>
  <c r="A1873" i="1"/>
  <c r="B1872" i="1"/>
  <c r="A1872" i="1"/>
  <c r="B1871" i="1"/>
  <c r="A1871" i="1"/>
  <c r="B1870" i="1"/>
  <c r="A1870" i="1"/>
  <c r="B1869" i="1"/>
  <c r="A1869" i="1"/>
  <c r="B1868" i="1"/>
  <c r="A1868" i="1"/>
  <c r="B1867" i="1"/>
  <c r="A1867" i="1"/>
  <c r="B1866" i="1"/>
  <c r="A1866" i="1"/>
  <c r="B1865" i="1"/>
  <c r="A1865" i="1"/>
  <c r="B1864" i="1"/>
  <c r="A1864" i="1"/>
  <c r="B1863" i="1"/>
  <c r="A1863" i="1"/>
  <c r="B1862" i="1"/>
  <c r="A1862" i="1"/>
  <c r="B1861" i="1"/>
  <c r="A1861" i="1"/>
  <c r="B1860" i="1"/>
  <c r="A1860" i="1"/>
  <c r="B1859" i="1"/>
  <c r="A1859" i="1"/>
  <c r="B1858" i="1"/>
  <c r="A1858" i="1"/>
  <c r="B1857" i="1"/>
  <c r="A1857" i="1"/>
  <c r="B1856" i="1"/>
  <c r="A1856" i="1"/>
  <c r="B1855" i="1"/>
  <c r="A1855" i="1"/>
  <c r="B1854" i="1"/>
  <c r="A1854" i="1"/>
  <c r="B1853" i="1"/>
  <c r="A1853" i="1"/>
  <c r="B1852" i="1"/>
  <c r="A1852" i="1"/>
  <c r="B1851" i="1"/>
  <c r="A1851" i="1"/>
  <c r="B1850" i="1"/>
  <c r="A1850" i="1"/>
  <c r="B1849" i="1"/>
  <c r="A1849" i="1"/>
  <c r="B1848" i="1"/>
  <c r="A1848" i="1"/>
  <c r="B1847" i="1"/>
  <c r="A1847" i="1"/>
  <c r="B1846" i="1"/>
  <c r="A1846" i="1"/>
  <c r="B1845" i="1"/>
  <c r="A1845" i="1"/>
  <c r="B1844" i="1"/>
  <c r="A1844" i="1"/>
  <c r="B1843" i="1"/>
  <c r="A1843" i="1"/>
  <c r="B1842" i="1"/>
  <c r="A1842" i="1"/>
  <c r="B1841" i="1"/>
  <c r="A1841" i="1"/>
  <c r="B1840" i="1"/>
  <c r="A1840" i="1"/>
  <c r="B1839" i="1"/>
  <c r="A1839" i="1"/>
  <c r="B1838" i="1"/>
  <c r="A1838" i="1"/>
  <c r="B1837" i="1"/>
  <c r="A1837" i="1"/>
  <c r="B1836" i="1"/>
  <c r="A1836" i="1"/>
  <c r="B1835" i="1"/>
  <c r="A1835" i="1"/>
  <c r="B1834" i="1"/>
  <c r="A1834" i="1"/>
  <c r="B1833" i="1"/>
  <c r="A1833" i="1"/>
  <c r="B1832" i="1"/>
  <c r="A1832" i="1"/>
  <c r="B1831" i="1"/>
  <c r="A1831" i="1"/>
  <c r="B1830" i="1"/>
  <c r="A1830" i="1"/>
  <c r="B1829" i="1"/>
  <c r="A1829" i="1"/>
  <c r="B1828" i="1"/>
  <c r="A1828" i="1"/>
  <c r="B1825" i="1"/>
  <c r="A1825" i="1"/>
  <c r="B1824" i="1"/>
  <c r="A1824" i="1"/>
  <c r="B1823" i="1"/>
  <c r="A1823" i="1"/>
  <c r="B1822" i="1"/>
  <c r="A1822" i="1"/>
  <c r="B1821" i="1"/>
  <c r="A1821" i="1"/>
  <c r="B1820" i="1"/>
  <c r="A1820" i="1"/>
  <c r="B1819" i="1"/>
  <c r="A1819" i="1"/>
  <c r="B1818" i="1"/>
  <c r="A1818" i="1"/>
  <c r="B1817" i="1"/>
  <c r="A1817" i="1"/>
  <c r="B1816" i="1"/>
  <c r="A1816" i="1"/>
  <c r="B1815" i="1"/>
  <c r="A1815" i="1"/>
  <c r="B1814" i="1"/>
  <c r="A1814" i="1"/>
  <c r="B1813" i="1"/>
  <c r="A1813" i="1"/>
  <c r="B1812" i="1"/>
  <c r="A1812" i="1"/>
  <c r="B1811" i="1"/>
  <c r="A1811" i="1"/>
  <c r="B1810" i="1"/>
  <c r="A1810" i="1"/>
  <c r="B1809" i="1"/>
  <c r="A1809" i="1"/>
  <c r="B1808" i="1"/>
  <c r="A1808" i="1"/>
  <c r="B1807" i="1"/>
  <c r="A1807" i="1"/>
  <c r="B1806" i="1"/>
  <c r="A1806" i="1"/>
  <c r="B1805" i="1"/>
  <c r="A1805" i="1"/>
  <c r="B1804" i="1"/>
  <c r="A1804" i="1"/>
  <c r="B1803" i="1"/>
  <c r="A1803" i="1"/>
  <c r="B1802" i="1"/>
  <c r="A1802" i="1"/>
  <c r="B1801" i="1"/>
  <c r="A1801" i="1"/>
  <c r="B1800" i="1"/>
  <c r="A1800" i="1"/>
  <c r="B1799" i="1"/>
  <c r="A1799" i="1"/>
  <c r="B1798" i="1"/>
  <c r="A1798" i="1"/>
  <c r="B1797" i="1"/>
  <c r="A1797" i="1"/>
  <c r="B1796" i="1"/>
  <c r="A1796" i="1"/>
  <c r="B1795" i="1"/>
  <c r="A1795" i="1"/>
  <c r="B1794" i="1"/>
  <c r="A1794" i="1"/>
  <c r="B1793" i="1"/>
  <c r="A1793" i="1"/>
  <c r="B1792" i="1"/>
  <c r="A1792" i="1"/>
  <c r="B1791" i="1"/>
  <c r="A1791" i="1"/>
  <c r="B1790" i="1"/>
  <c r="A1790" i="1"/>
  <c r="B1789" i="1"/>
  <c r="A1789" i="1"/>
  <c r="B1788" i="1"/>
  <c r="A1788" i="1"/>
  <c r="B1787" i="1"/>
  <c r="A1787" i="1"/>
  <c r="B1786" i="1"/>
  <c r="A1786" i="1"/>
  <c r="B1785" i="1"/>
  <c r="A1785" i="1"/>
  <c r="B1784" i="1"/>
  <c r="A1784" i="1"/>
  <c r="B1783" i="1"/>
  <c r="A1783" i="1"/>
  <c r="B1782" i="1"/>
  <c r="A1782" i="1"/>
  <c r="B1781" i="1"/>
  <c r="A1781" i="1"/>
  <c r="B1780" i="1"/>
  <c r="A1780" i="1"/>
  <c r="B1779" i="1"/>
  <c r="A1779" i="1"/>
  <c r="B1778" i="1"/>
  <c r="A1778" i="1"/>
  <c r="B1777" i="1"/>
  <c r="A1777" i="1"/>
  <c r="B1776" i="1"/>
  <c r="A1776" i="1"/>
  <c r="B1775" i="1"/>
  <c r="A1775" i="1"/>
  <c r="B1774" i="1"/>
  <c r="A1774" i="1"/>
  <c r="B1773" i="1"/>
  <c r="A1773" i="1"/>
  <c r="B1772" i="1"/>
  <c r="A1772" i="1"/>
  <c r="B1771" i="1"/>
  <c r="A1771" i="1"/>
  <c r="B1770" i="1"/>
  <c r="A1770" i="1"/>
  <c r="B1769" i="1"/>
  <c r="A1769" i="1"/>
  <c r="B1768" i="1"/>
  <c r="A1768" i="1"/>
  <c r="B1767" i="1"/>
  <c r="A1767" i="1"/>
  <c r="B1766" i="1"/>
  <c r="A1766" i="1"/>
  <c r="B1765" i="1"/>
  <c r="A1765" i="1"/>
  <c r="B1764" i="1"/>
  <c r="A1764" i="1"/>
  <c r="B1763" i="1"/>
  <c r="A1763" i="1"/>
  <c r="B1762" i="1"/>
  <c r="A1762" i="1"/>
  <c r="B1761" i="1"/>
  <c r="A1761" i="1"/>
  <c r="B1760" i="1"/>
  <c r="A1760" i="1"/>
  <c r="B1759" i="1"/>
  <c r="A1759" i="1"/>
  <c r="B1758" i="1"/>
  <c r="A1758" i="1"/>
  <c r="B1757" i="1"/>
  <c r="A1757" i="1"/>
  <c r="B1756" i="1"/>
  <c r="A1756" i="1"/>
  <c r="B1755" i="1"/>
  <c r="A1755" i="1"/>
  <c r="B1754" i="1"/>
  <c r="A1754" i="1"/>
  <c r="B1753" i="1"/>
  <c r="A1753" i="1"/>
  <c r="B1752" i="1"/>
  <c r="A1752" i="1"/>
  <c r="B1751" i="1"/>
  <c r="A1751" i="1"/>
  <c r="B1750" i="1"/>
  <c r="A1750" i="1"/>
  <c r="B1749" i="1"/>
  <c r="A1749" i="1"/>
  <c r="B1748" i="1"/>
  <c r="A1748" i="1"/>
  <c r="B1747" i="1"/>
  <c r="A1747" i="1"/>
  <c r="B1746" i="1"/>
  <c r="A1746" i="1"/>
  <c r="B1745" i="1"/>
  <c r="A1745" i="1"/>
  <c r="B1744" i="1"/>
  <c r="A1744" i="1"/>
  <c r="B1743" i="1"/>
  <c r="A1743" i="1"/>
  <c r="B1742" i="1"/>
  <c r="A1742" i="1"/>
  <c r="B1741" i="1"/>
  <c r="A1741" i="1"/>
  <c r="B1740" i="1"/>
  <c r="A1740" i="1"/>
  <c r="B1739" i="1"/>
  <c r="A1739" i="1"/>
  <c r="B1738" i="1"/>
  <c r="A1738" i="1"/>
  <c r="B1737" i="1"/>
  <c r="A1737" i="1"/>
  <c r="B1736" i="1"/>
  <c r="A1736" i="1"/>
  <c r="B1735" i="1"/>
  <c r="A1735" i="1"/>
  <c r="B1734" i="1"/>
  <c r="A1734" i="1"/>
  <c r="B1733" i="1"/>
  <c r="A1733" i="1"/>
  <c r="B1732" i="1"/>
  <c r="A1732" i="1"/>
  <c r="B1731" i="1"/>
  <c r="A1731" i="1"/>
  <c r="B1730" i="1"/>
  <c r="A1730" i="1"/>
  <c r="B1729" i="1"/>
  <c r="A1729" i="1"/>
  <c r="B1728" i="1"/>
  <c r="A1728" i="1"/>
  <c r="B1727" i="1"/>
  <c r="A1727" i="1"/>
  <c r="B1726" i="1"/>
  <c r="A1726" i="1"/>
  <c r="B1725" i="1"/>
  <c r="A1725" i="1"/>
  <c r="B1724" i="1"/>
  <c r="A1724" i="1"/>
  <c r="B1723" i="1"/>
  <c r="A1723" i="1"/>
  <c r="B1722" i="1"/>
  <c r="A1722" i="1"/>
  <c r="B1721" i="1"/>
  <c r="A1721" i="1"/>
  <c r="B1720" i="1"/>
  <c r="A1720" i="1"/>
  <c r="B1719" i="1"/>
  <c r="A1719" i="1"/>
  <c r="B1718" i="1"/>
  <c r="A1718" i="1"/>
  <c r="B1717" i="1"/>
  <c r="A1717" i="1"/>
  <c r="B1716" i="1"/>
  <c r="A1716" i="1"/>
  <c r="B1715" i="1"/>
  <c r="A1715" i="1"/>
  <c r="B1714" i="1"/>
  <c r="A1714" i="1"/>
  <c r="B1713" i="1"/>
  <c r="A1713" i="1"/>
  <c r="B1712" i="1"/>
  <c r="A1712" i="1"/>
  <c r="B1711" i="1"/>
  <c r="A1711" i="1"/>
  <c r="B1710" i="1"/>
  <c r="A1710" i="1"/>
  <c r="B1709" i="1"/>
  <c r="A1709" i="1"/>
  <c r="B1708" i="1"/>
  <c r="A1708" i="1"/>
  <c r="B1707" i="1"/>
  <c r="A1707" i="1"/>
  <c r="B1706" i="1"/>
  <c r="A1706" i="1"/>
  <c r="B1705" i="1"/>
  <c r="A1705" i="1"/>
  <c r="B1704" i="1"/>
  <c r="A1704" i="1"/>
  <c r="B1703" i="1"/>
  <c r="A1703" i="1"/>
  <c r="B1702" i="1"/>
  <c r="A1702" i="1"/>
  <c r="B1701" i="1"/>
  <c r="A1701" i="1"/>
  <c r="B1700" i="1"/>
  <c r="A1700" i="1"/>
  <c r="B1699" i="1"/>
  <c r="A1699" i="1"/>
  <c r="B1698" i="1"/>
  <c r="A1698" i="1"/>
  <c r="B1697" i="1"/>
  <c r="A1697" i="1"/>
  <c r="B1696" i="1"/>
  <c r="A1696" i="1"/>
  <c r="B1695" i="1"/>
  <c r="A1695" i="1"/>
  <c r="B1694" i="1"/>
  <c r="A1694" i="1"/>
  <c r="B1693" i="1"/>
  <c r="A1693" i="1"/>
  <c r="B1692" i="1"/>
  <c r="A1692" i="1"/>
  <c r="B1691" i="1"/>
  <c r="A1691" i="1"/>
  <c r="B1690" i="1"/>
  <c r="A1690" i="1"/>
  <c r="B1689" i="1"/>
  <c r="A1689" i="1"/>
  <c r="B1688" i="1"/>
  <c r="A1688" i="1"/>
  <c r="B1687" i="1"/>
  <c r="A1687" i="1"/>
  <c r="B1686" i="1"/>
  <c r="A1686" i="1"/>
  <c r="B1685" i="1"/>
  <c r="A1685" i="1"/>
  <c r="B1684" i="1"/>
  <c r="A1684" i="1"/>
  <c r="B1683" i="1"/>
  <c r="A1683" i="1"/>
  <c r="B1682" i="1"/>
  <c r="A1682" i="1"/>
  <c r="B1681" i="1"/>
  <c r="A1681" i="1"/>
  <c r="B1680" i="1"/>
  <c r="A1680" i="1"/>
  <c r="B1679" i="1"/>
  <c r="A1679" i="1"/>
  <c r="B1678" i="1"/>
  <c r="A1678" i="1"/>
  <c r="B1677" i="1"/>
  <c r="A1677" i="1"/>
  <c r="B1676" i="1"/>
  <c r="A1676" i="1"/>
  <c r="B1675" i="1"/>
  <c r="A1675" i="1"/>
  <c r="B1674" i="1"/>
  <c r="A1674" i="1"/>
  <c r="B1673" i="1"/>
  <c r="A1673" i="1"/>
  <c r="B1672" i="1"/>
  <c r="A1672" i="1"/>
  <c r="B1671" i="1"/>
  <c r="A1671" i="1"/>
  <c r="B1670" i="1"/>
  <c r="A1670" i="1"/>
  <c r="B1669" i="1"/>
  <c r="A1669" i="1"/>
  <c r="B1668" i="1"/>
  <c r="A1668" i="1"/>
  <c r="B1667" i="1"/>
  <c r="A1667" i="1"/>
  <c r="B1666" i="1"/>
  <c r="A1666" i="1"/>
  <c r="B1665" i="1"/>
  <c r="A1665" i="1"/>
  <c r="B1664" i="1"/>
  <c r="A1664" i="1"/>
  <c r="B1663" i="1"/>
  <c r="A1663" i="1"/>
  <c r="B1662" i="1"/>
  <c r="A1662" i="1"/>
  <c r="B1661" i="1"/>
  <c r="A1661" i="1"/>
  <c r="B1660" i="1"/>
  <c r="A1660" i="1"/>
  <c r="B1659" i="1"/>
  <c r="A1659" i="1"/>
  <c r="B1658" i="1"/>
  <c r="A1658" i="1"/>
  <c r="B1657" i="1"/>
  <c r="A1657" i="1"/>
  <c r="B1656" i="1"/>
  <c r="A1656" i="1"/>
  <c r="B1655" i="1"/>
  <c r="A1655" i="1"/>
  <c r="B1654" i="1"/>
  <c r="A1654" i="1"/>
  <c r="B1653" i="1"/>
  <c r="A1653" i="1"/>
  <c r="B1652" i="1"/>
  <c r="A1652" i="1"/>
  <c r="B1651" i="1"/>
  <c r="A1651" i="1"/>
  <c r="B1650" i="1"/>
  <c r="A1650" i="1"/>
  <c r="B1649" i="1"/>
  <c r="A1649" i="1"/>
  <c r="B1648" i="1"/>
  <c r="A1648" i="1"/>
  <c r="B1647" i="1"/>
  <c r="A1647" i="1"/>
  <c r="B1646" i="1"/>
  <c r="A1646" i="1"/>
  <c r="B1645" i="1"/>
  <c r="A1645" i="1"/>
  <c r="B1644" i="1"/>
  <c r="A1644" i="1"/>
  <c r="B1643" i="1"/>
  <c r="A1643" i="1"/>
  <c r="B1642" i="1"/>
  <c r="A1642" i="1"/>
  <c r="B1641" i="1"/>
  <c r="A1641" i="1"/>
  <c r="B1640" i="1"/>
  <c r="A1640" i="1"/>
  <c r="B1639" i="1"/>
  <c r="A1639" i="1"/>
  <c r="B1638" i="1"/>
  <c r="A1638" i="1"/>
  <c r="B1637" i="1"/>
  <c r="A1637" i="1"/>
  <c r="B1636" i="1"/>
  <c r="A1636" i="1"/>
  <c r="B1635" i="1"/>
  <c r="A1635" i="1"/>
  <c r="B1634" i="1"/>
  <c r="A1634" i="1"/>
  <c r="B1633" i="1"/>
  <c r="A1633" i="1"/>
  <c r="B1632" i="1"/>
  <c r="A1632" i="1"/>
  <c r="B1631" i="1"/>
  <c r="A1631" i="1"/>
  <c r="B1630" i="1"/>
  <c r="A1630" i="1"/>
  <c r="B1629" i="1"/>
  <c r="A1629" i="1"/>
  <c r="B1628" i="1"/>
  <c r="A1628" i="1"/>
  <c r="B1627" i="1"/>
  <c r="A1627" i="1"/>
  <c r="B1626" i="1"/>
  <c r="A1626" i="1"/>
  <c r="B1625" i="1"/>
  <c r="A1625" i="1"/>
  <c r="B1624" i="1"/>
  <c r="A1624" i="1"/>
  <c r="B1623" i="1"/>
  <c r="A1623" i="1"/>
  <c r="B1622" i="1"/>
  <c r="A1622" i="1"/>
  <c r="B1621" i="1"/>
  <c r="A1621" i="1"/>
  <c r="B1620" i="1"/>
  <c r="A1620" i="1"/>
  <c r="B1619" i="1"/>
  <c r="A1619" i="1"/>
  <c r="B1618" i="1"/>
  <c r="A1618" i="1"/>
  <c r="B1617" i="1"/>
  <c r="A1617" i="1"/>
  <c r="B1616" i="1"/>
  <c r="A1616" i="1"/>
  <c r="B1615" i="1"/>
  <c r="A1615" i="1"/>
  <c r="B1614" i="1"/>
  <c r="A1614" i="1"/>
  <c r="B1613" i="1"/>
  <c r="A1613" i="1"/>
  <c r="B1612" i="1"/>
  <c r="A1612" i="1"/>
  <c r="B1611" i="1"/>
  <c r="A1611" i="1"/>
  <c r="B1610" i="1"/>
  <c r="A1610" i="1"/>
  <c r="B1609" i="1"/>
  <c r="A1609" i="1"/>
  <c r="B1608" i="1"/>
  <c r="A1608" i="1"/>
  <c r="B1607" i="1"/>
  <c r="A1607" i="1"/>
  <c r="B1606" i="1"/>
  <c r="A1606" i="1"/>
  <c r="B1605" i="1"/>
  <c r="A1605" i="1"/>
  <c r="B1604" i="1"/>
  <c r="A1604" i="1"/>
  <c r="B1603" i="1"/>
  <c r="A1603" i="1"/>
  <c r="B1601" i="1"/>
  <c r="A1601" i="1"/>
  <c r="B1600" i="1"/>
  <c r="A1600" i="1"/>
  <c r="B1599" i="1"/>
  <c r="A1599" i="1"/>
  <c r="B1597" i="1"/>
  <c r="A1597" i="1"/>
  <c r="B1596" i="1"/>
  <c r="A1596" i="1"/>
  <c r="B1595" i="1"/>
  <c r="A1595" i="1"/>
  <c r="B1594" i="1"/>
  <c r="A1594" i="1"/>
  <c r="B1593" i="1"/>
  <c r="A1593" i="1"/>
  <c r="B1592" i="1"/>
  <c r="A1592" i="1"/>
  <c r="B1591" i="1"/>
  <c r="A1591" i="1"/>
  <c r="B1590" i="1"/>
  <c r="A1590" i="1"/>
  <c r="B1589" i="1"/>
  <c r="A1589" i="1"/>
  <c r="B1588" i="1"/>
  <c r="A1588" i="1"/>
  <c r="B1587" i="1"/>
  <c r="A1587" i="1"/>
  <c r="B1586" i="1"/>
  <c r="A1586" i="1"/>
  <c r="B1585" i="1"/>
  <c r="A1585" i="1"/>
  <c r="B1584" i="1"/>
  <c r="A1584" i="1"/>
  <c r="B1583" i="1"/>
  <c r="A1583" i="1"/>
  <c r="B1582" i="1"/>
  <c r="A1582" i="1"/>
  <c r="B1581" i="1"/>
  <c r="A1581" i="1"/>
  <c r="B1580" i="1"/>
  <c r="A1580" i="1"/>
  <c r="B1579" i="1"/>
  <c r="A1579" i="1"/>
  <c r="B1578" i="1"/>
  <c r="A1578" i="1"/>
  <c r="B1577" i="1"/>
  <c r="A1577" i="1"/>
  <c r="B1576" i="1"/>
  <c r="A1576" i="1"/>
  <c r="B1575" i="1"/>
  <c r="A1575" i="1"/>
  <c r="B1574" i="1"/>
  <c r="A1574" i="1"/>
  <c r="B1573" i="1"/>
  <c r="A1573" i="1"/>
  <c r="B1572" i="1"/>
  <c r="A1572" i="1"/>
  <c r="B1571" i="1"/>
  <c r="A1571" i="1"/>
  <c r="B1570" i="1"/>
  <c r="A1570" i="1"/>
  <c r="B1569" i="1"/>
  <c r="A1569" i="1"/>
  <c r="B1568" i="1"/>
  <c r="A1568" i="1"/>
  <c r="B1567" i="1"/>
  <c r="A1567" i="1"/>
  <c r="B1566" i="1"/>
  <c r="A1566" i="1"/>
  <c r="B1565" i="1"/>
  <c r="A1565" i="1"/>
  <c r="B1564" i="1"/>
  <c r="A1564" i="1"/>
  <c r="B1563" i="1"/>
  <c r="A1563" i="1"/>
  <c r="B1562" i="1"/>
  <c r="A1562" i="1"/>
  <c r="B1561" i="1"/>
  <c r="A1561" i="1"/>
  <c r="B1560" i="1"/>
  <c r="A1560" i="1"/>
  <c r="B1559" i="1"/>
  <c r="A1559" i="1"/>
  <c r="B1558" i="1"/>
  <c r="A1558" i="1"/>
  <c r="B1557" i="1"/>
  <c r="A1557" i="1"/>
  <c r="B1556" i="1"/>
  <c r="A1556" i="1"/>
  <c r="B1555" i="1"/>
  <c r="A1555" i="1"/>
  <c r="B1554" i="1"/>
  <c r="A1554" i="1"/>
  <c r="B1553" i="1"/>
  <c r="A1553" i="1"/>
  <c r="B1552" i="1"/>
  <c r="A1552" i="1"/>
  <c r="B1551" i="1"/>
  <c r="A1551" i="1"/>
  <c r="B1550" i="1"/>
  <c r="A1550" i="1"/>
  <c r="B1549" i="1"/>
  <c r="A1549" i="1"/>
  <c r="B1548" i="1"/>
  <c r="A1548" i="1"/>
  <c r="B1547" i="1"/>
  <c r="A1547" i="1"/>
  <c r="B1546" i="1"/>
  <c r="A1546" i="1"/>
  <c r="B1545" i="1"/>
  <c r="A1545" i="1"/>
  <c r="B1544" i="1"/>
  <c r="A1544" i="1"/>
  <c r="B1543" i="1"/>
  <c r="A1543" i="1"/>
  <c r="B1542" i="1"/>
  <c r="A1542" i="1"/>
  <c r="B1541" i="1"/>
  <c r="A1541" i="1"/>
  <c r="B1540" i="1"/>
  <c r="A1540" i="1"/>
  <c r="B1539" i="1"/>
  <c r="A1539" i="1"/>
  <c r="B1538" i="1"/>
  <c r="A1538" i="1"/>
  <c r="B1537" i="1"/>
  <c r="A1537" i="1"/>
  <c r="B1536" i="1"/>
  <c r="A1536" i="1"/>
  <c r="B1535" i="1"/>
  <c r="A1535" i="1"/>
  <c r="B1534" i="1"/>
  <c r="A1534" i="1"/>
  <c r="B1533" i="1"/>
  <c r="A1533" i="1"/>
  <c r="B1532" i="1"/>
  <c r="A1532" i="1"/>
  <c r="B1531" i="1"/>
  <c r="A1531" i="1"/>
  <c r="B1530" i="1"/>
  <c r="A1530" i="1"/>
  <c r="B1529" i="1"/>
  <c r="A1529" i="1"/>
  <c r="B1528" i="1"/>
  <c r="A1528" i="1"/>
  <c r="B1527" i="1"/>
  <c r="A1527" i="1"/>
  <c r="B1526" i="1"/>
  <c r="A1526" i="1"/>
  <c r="B1525" i="1"/>
  <c r="A1525" i="1"/>
  <c r="B1524" i="1"/>
  <c r="A1524" i="1"/>
  <c r="B1523" i="1"/>
  <c r="A1523" i="1"/>
  <c r="B1522" i="1"/>
  <c r="A1522" i="1"/>
  <c r="B1521" i="1"/>
  <c r="A1521" i="1"/>
  <c r="B1520" i="1"/>
  <c r="A1520" i="1"/>
  <c r="B1519" i="1"/>
  <c r="A1519" i="1"/>
  <c r="B1518" i="1"/>
  <c r="A1518" i="1"/>
  <c r="B1517" i="1"/>
  <c r="A1517" i="1"/>
  <c r="B1516" i="1"/>
  <c r="A1516" i="1"/>
  <c r="B1515" i="1"/>
  <c r="A1515" i="1"/>
  <c r="B1514" i="1"/>
  <c r="A1514" i="1"/>
  <c r="B1513" i="1"/>
  <c r="A1513" i="1"/>
  <c r="B1512" i="1"/>
  <c r="A1512" i="1"/>
  <c r="B1511" i="1"/>
  <c r="A1511" i="1"/>
  <c r="B1510" i="1"/>
  <c r="A1510" i="1"/>
  <c r="B1509" i="1"/>
  <c r="A1509" i="1"/>
  <c r="B1508" i="1"/>
  <c r="A1508" i="1"/>
  <c r="B1507" i="1"/>
  <c r="A1507" i="1"/>
  <c r="B1506" i="1"/>
  <c r="A1506" i="1"/>
  <c r="B1505" i="1"/>
  <c r="A1505" i="1"/>
  <c r="B1504" i="1"/>
  <c r="A1504" i="1"/>
  <c r="B1503" i="1"/>
  <c r="A1503" i="1"/>
  <c r="B1502" i="1"/>
  <c r="A1502" i="1"/>
  <c r="B1501" i="1"/>
  <c r="A1501" i="1"/>
  <c r="B1500" i="1"/>
  <c r="A1500" i="1"/>
  <c r="B1499" i="1"/>
  <c r="A1499" i="1"/>
  <c r="B1498" i="1"/>
  <c r="A1498" i="1"/>
  <c r="B1497" i="1"/>
  <c r="A1497" i="1"/>
  <c r="B1496" i="1"/>
  <c r="A1496" i="1"/>
  <c r="B1495" i="1"/>
  <c r="A1495" i="1"/>
  <c r="B1494" i="1"/>
  <c r="A1494" i="1"/>
  <c r="B1493" i="1"/>
  <c r="A1493" i="1"/>
  <c r="B1492" i="1"/>
  <c r="A1492" i="1"/>
  <c r="B1491" i="1"/>
  <c r="A1491" i="1"/>
  <c r="B1490" i="1"/>
  <c r="A1490" i="1"/>
  <c r="B1489" i="1"/>
  <c r="A1489" i="1"/>
  <c r="B1488" i="1"/>
  <c r="A1488" i="1"/>
  <c r="B1487" i="1"/>
  <c r="A1487" i="1"/>
  <c r="B1486" i="1"/>
  <c r="A1486" i="1"/>
  <c r="B1485" i="1"/>
  <c r="A1485" i="1"/>
  <c r="B1484" i="1"/>
  <c r="A1484" i="1"/>
  <c r="B1483" i="1"/>
  <c r="A1483" i="1"/>
  <c r="B1482" i="1"/>
  <c r="A1482" i="1"/>
  <c r="B1481" i="1"/>
  <c r="A1481" i="1"/>
  <c r="B1480" i="1"/>
  <c r="A1480" i="1"/>
  <c r="B1479" i="1"/>
  <c r="A1479" i="1"/>
  <c r="B1478" i="1"/>
  <c r="A1478" i="1"/>
  <c r="B1477" i="1"/>
  <c r="A1477" i="1"/>
  <c r="B1474" i="1"/>
  <c r="A1474" i="1"/>
  <c r="B1473" i="1"/>
  <c r="A1473" i="1"/>
  <c r="B1472" i="1"/>
  <c r="A1472" i="1"/>
  <c r="B1471" i="1"/>
  <c r="A1471" i="1"/>
  <c r="B1470" i="1"/>
  <c r="A1470" i="1"/>
  <c r="B1469" i="1"/>
  <c r="A1469" i="1"/>
  <c r="B1468" i="1"/>
  <c r="A1468" i="1"/>
  <c r="B1467" i="1"/>
  <c r="A1467" i="1"/>
  <c r="B1466" i="1"/>
  <c r="A1466" i="1"/>
  <c r="B1465" i="1"/>
  <c r="A1465" i="1"/>
  <c r="B1464" i="1"/>
  <c r="A1464" i="1"/>
  <c r="B1463" i="1"/>
  <c r="A1463" i="1"/>
  <c r="B1462" i="1"/>
  <c r="A1462" i="1"/>
  <c r="B1461" i="1"/>
  <c r="A1461" i="1"/>
  <c r="B1460" i="1"/>
  <c r="A1460" i="1"/>
  <c r="B1459" i="1"/>
  <c r="A1459" i="1"/>
  <c r="B1458" i="1"/>
  <c r="A1458" i="1"/>
  <c r="B1457" i="1"/>
  <c r="A1457" i="1"/>
  <c r="B1456" i="1"/>
  <c r="A1456" i="1"/>
  <c r="B1455" i="1"/>
  <c r="A1455" i="1"/>
  <c r="B1454" i="1"/>
  <c r="A1454" i="1"/>
  <c r="B1453" i="1"/>
  <c r="A1453" i="1"/>
  <c r="B1452" i="1"/>
  <c r="A1452" i="1"/>
  <c r="B1451" i="1"/>
  <c r="A1451" i="1"/>
  <c r="B1450" i="1"/>
  <c r="A1450" i="1"/>
  <c r="B1449" i="1"/>
  <c r="A1449" i="1"/>
  <c r="B1448" i="1"/>
  <c r="A1448" i="1"/>
  <c r="B1447" i="1"/>
  <c r="A1447" i="1"/>
  <c r="B1446" i="1"/>
  <c r="A1446" i="1"/>
  <c r="B1445" i="1"/>
  <c r="A1445" i="1"/>
  <c r="B1444" i="1"/>
  <c r="A1444" i="1"/>
  <c r="B1443" i="1"/>
  <c r="A1443" i="1"/>
  <c r="B1442" i="1"/>
  <c r="A1442" i="1"/>
  <c r="B1441" i="1"/>
  <c r="A1441" i="1"/>
  <c r="B1440" i="1"/>
  <c r="A1440" i="1"/>
  <c r="B1439" i="1"/>
  <c r="A1439" i="1"/>
  <c r="B1438" i="1"/>
  <c r="A1438" i="1"/>
  <c r="B1437" i="1"/>
  <c r="A1437" i="1"/>
  <c r="B1436" i="1"/>
  <c r="A1436" i="1"/>
  <c r="B1435" i="1"/>
  <c r="A1435" i="1"/>
  <c r="B1434" i="1"/>
  <c r="A1434" i="1"/>
  <c r="B1433" i="1"/>
  <c r="A1433" i="1"/>
  <c r="B1432" i="1"/>
  <c r="A1432" i="1"/>
  <c r="B1431" i="1"/>
  <c r="A1431" i="1"/>
  <c r="B1430" i="1"/>
  <c r="A1430" i="1"/>
  <c r="B1429" i="1"/>
  <c r="A1429" i="1"/>
  <c r="B1428" i="1"/>
  <c r="A1428" i="1"/>
  <c r="B1427" i="1"/>
  <c r="A1427" i="1"/>
  <c r="B1426" i="1"/>
  <c r="A1426" i="1"/>
  <c r="B1425" i="1"/>
  <c r="A1425" i="1"/>
  <c r="B1424" i="1"/>
  <c r="A1424" i="1"/>
  <c r="B1423" i="1"/>
  <c r="A1423" i="1"/>
  <c r="B1422" i="1"/>
  <c r="A1422" i="1"/>
  <c r="B1421" i="1"/>
  <c r="A1421" i="1"/>
  <c r="B1420" i="1"/>
  <c r="A1420" i="1"/>
  <c r="B1419" i="1"/>
  <c r="A1419" i="1"/>
  <c r="B1418" i="1"/>
  <c r="A1418" i="1"/>
  <c r="B1417" i="1"/>
  <c r="A1417" i="1"/>
  <c r="B1416" i="1"/>
  <c r="A1416" i="1"/>
  <c r="B1415" i="1"/>
  <c r="A1415" i="1"/>
  <c r="B1414" i="1"/>
  <c r="A1414" i="1"/>
  <c r="B1413" i="1"/>
  <c r="A1413" i="1"/>
  <c r="B1412" i="1"/>
  <c r="A1412" i="1"/>
  <c r="B1411" i="1"/>
  <c r="A1411" i="1"/>
  <c r="B1410" i="1"/>
  <c r="A1410" i="1"/>
  <c r="B1409" i="1"/>
  <c r="A1409" i="1"/>
  <c r="B1408" i="1"/>
  <c r="A1408" i="1"/>
  <c r="B1407" i="1"/>
  <c r="A1407" i="1"/>
  <c r="B1406" i="1"/>
  <c r="A1406" i="1"/>
  <c r="B1405" i="1"/>
  <c r="A1405" i="1"/>
  <c r="B1404" i="1"/>
  <c r="A1404" i="1"/>
  <c r="B1403" i="1"/>
  <c r="A1403" i="1"/>
  <c r="B1402" i="1"/>
  <c r="A1402" i="1"/>
  <c r="B1401" i="1"/>
  <c r="A1401" i="1"/>
  <c r="B1400" i="1"/>
  <c r="A1400" i="1"/>
  <c r="B1399" i="1"/>
  <c r="A1399" i="1"/>
  <c r="B1398" i="1"/>
  <c r="A1398" i="1"/>
  <c r="B1397" i="1"/>
  <c r="A1397" i="1"/>
  <c r="B1396" i="1"/>
  <c r="A1396" i="1"/>
  <c r="B1395" i="1"/>
  <c r="A1395" i="1"/>
  <c r="B1394" i="1"/>
  <c r="A1394" i="1"/>
  <c r="B1393" i="1"/>
  <c r="A1393" i="1"/>
  <c r="B1392" i="1"/>
  <c r="A1392" i="1"/>
  <c r="B1391" i="1"/>
  <c r="A1391" i="1"/>
  <c r="B1390" i="1"/>
  <c r="A1390" i="1"/>
  <c r="B1389" i="1"/>
  <c r="A1389" i="1"/>
  <c r="B1388" i="1"/>
  <c r="A1388" i="1"/>
  <c r="B1387" i="1"/>
  <c r="A1387" i="1"/>
  <c r="B1386" i="1"/>
  <c r="A1386" i="1"/>
  <c r="B1385" i="1"/>
  <c r="A1385" i="1"/>
  <c r="B1384" i="1"/>
  <c r="A1384" i="1"/>
  <c r="B1383" i="1"/>
  <c r="A1383" i="1"/>
  <c r="B1382" i="1"/>
  <c r="A1382" i="1"/>
  <c r="B1381" i="1"/>
  <c r="A1381" i="1"/>
  <c r="B1380" i="1"/>
  <c r="A1380" i="1"/>
  <c r="B1379" i="1"/>
  <c r="A1379" i="1"/>
  <c r="B1378" i="1"/>
  <c r="A1378" i="1"/>
  <c r="B1377" i="1"/>
  <c r="A1377" i="1"/>
  <c r="B1376" i="1"/>
  <c r="A1376" i="1"/>
  <c r="B1375" i="1"/>
  <c r="A1375" i="1"/>
  <c r="B1374" i="1"/>
  <c r="A1374" i="1"/>
  <c r="B1373" i="1"/>
  <c r="A1373" i="1"/>
  <c r="B1372" i="1"/>
  <c r="A1372" i="1"/>
  <c r="B1371" i="1"/>
  <c r="A1371" i="1"/>
  <c r="B1370" i="1"/>
  <c r="A1370" i="1"/>
  <c r="B1369" i="1"/>
  <c r="A1369" i="1"/>
  <c r="B1368" i="1"/>
  <c r="A1368" i="1"/>
  <c r="B1367" i="1"/>
  <c r="A1367" i="1"/>
  <c r="B1366" i="1"/>
  <c r="A1366" i="1"/>
  <c r="B1365" i="1"/>
  <c r="A1365" i="1"/>
  <c r="B1364" i="1"/>
  <c r="A1364" i="1"/>
  <c r="B1363" i="1"/>
  <c r="A1363" i="1"/>
  <c r="B1362" i="1"/>
  <c r="A1362" i="1"/>
  <c r="B1361" i="1"/>
  <c r="A1361" i="1"/>
  <c r="B1360" i="1"/>
  <c r="A1360" i="1"/>
  <c r="B1359" i="1"/>
  <c r="A1359" i="1"/>
  <c r="B1358" i="1"/>
  <c r="A1358" i="1"/>
  <c r="B1357" i="1"/>
  <c r="A1357" i="1"/>
  <c r="B1356" i="1"/>
  <c r="A1356" i="1"/>
  <c r="B1355" i="1"/>
  <c r="A1355" i="1"/>
  <c r="B1354" i="1"/>
  <c r="A1354" i="1"/>
  <c r="B1353" i="1"/>
  <c r="A1353" i="1"/>
  <c r="B1352" i="1"/>
  <c r="A1352" i="1"/>
  <c r="B1351" i="1"/>
  <c r="A1351" i="1"/>
  <c r="B1350" i="1"/>
  <c r="A1350" i="1"/>
  <c r="B1349" i="1"/>
  <c r="A1349" i="1"/>
  <c r="B1348" i="1"/>
  <c r="A1348" i="1"/>
  <c r="B1347" i="1"/>
  <c r="A1347" i="1"/>
  <c r="B1346" i="1"/>
  <c r="A1346" i="1"/>
  <c r="B1345" i="1"/>
  <c r="A1345" i="1"/>
  <c r="B1344" i="1"/>
  <c r="A1344" i="1"/>
  <c r="B1343" i="1"/>
  <c r="A1343" i="1"/>
  <c r="B1342" i="1"/>
  <c r="A1342" i="1"/>
  <c r="B1341" i="1"/>
  <c r="A1341" i="1"/>
  <c r="B1340" i="1"/>
  <c r="A1340" i="1"/>
  <c r="B1339" i="1"/>
  <c r="A1339" i="1"/>
  <c r="B1338" i="1"/>
  <c r="A1338" i="1"/>
  <c r="B1337" i="1"/>
  <c r="A1337" i="1"/>
  <c r="B1336" i="1"/>
  <c r="A1336" i="1"/>
  <c r="B1335" i="1"/>
  <c r="A1335" i="1"/>
  <c r="B1334" i="1"/>
  <c r="A1334" i="1"/>
  <c r="B1333" i="1"/>
  <c r="A1333" i="1"/>
  <c r="B1332" i="1"/>
  <c r="A1332" i="1"/>
  <c r="B1331" i="1"/>
  <c r="A1331" i="1"/>
  <c r="B1330" i="1"/>
  <c r="A1330" i="1"/>
  <c r="B1329" i="1"/>
  <c r="A1329" i="1"/>
  <c r="B1328" i="1"/>
  <c r="A1328" i="1"/>
  <c r="B1327" i="1"/>
  <c r="A1327" i="1"/>
  <c r="B1326" i="1"/>
  <c r="A1326" i="1"/>
  <c r="B1325" i="1"/>
  <c r="A1325" i="1"/>
  <c r="B1324" i="1"/>
  <c r="A1324" i="1"/>
  <c r="B1323" i="1"/>
  <c r="A1323" i="1"/>
  <c r="B1322" i="1"/>
  <c r="A1322" i="1"/>
  <c r="B1321" i="1"/>
  <c r="A1321" i="1"/>
  <c r="B1320" i="1"/>
  <c r="A1320" i="1"/>
  <c r="B1319" i="1"/>
  <c r="A1319" i="1"/>
  <c r="B1318" i="1"/>
  <c r="A1318" i="1"/>
  <c r="B1317" i="1"/>
  <c r="A1317" i="1"/>
  <c r="B1316" i="1"/>
  <c r="A1316" i="1"/>
  <c r="B1315" i="1"/>
  <c r="A1315" i="1"/>
  <c r="B1314" i="1"/>
  <c r="A1314" i="1"/>
  <c r="B1313" i="1"/>
  <c r="A1313" i="1"/>
  <c r="B1312" i="1"/>
  <c r="A1312" i="1"/>
  <c r="B1311" i="1"/>
  <c r="A1311" i="1"/>
  <c r="B1310" i="1"/>
  <c r="A1310" i="1"/>
  <c r="B1309" i="1"/>
  <c r="A1309" i="1"/>
  <c r="B1308" i="1"/>
  <c r="A1308" i="1"/>
  <c r="B1307" i="1"/>
  <c r="A1307" i="1"/>
  <c r="B1306" i="1"/>
  <c r="A1306" i="1"/>
  <c r="B1305" i="1"/>
  <c r="A1305" i="1"/>
  <c r="B1304" i="1"/>
  <c r="A1304" i="1"/>
  <c r="B1303" i="1"/>
  <c r="A1303" i="1"/>
  <c r="B1302" i="1"/>
  <c r="A1302" i="1"/>
  <c r="B1301" i="1"/>
  <c r="A1301" i="1"/>
  <c r="B1300" i="1"/>
  <c r="A1300" i="1"/>
  <c r="B1299" i="1"/>
  <c r="A1299" i="1"/>
  <c r="B1298" i="1"/>
  <c r="A1298" i="1"/>
  <c r="B1297" i="1"/>
  <c r="A1297" i="1"/>
  <c r="B1296" i="1"/>
  <c r="A1296" i="1"/>
  <c r="B1295" i="1"/>
  <c r="A1295" i="1"/>
  <c r="B1294" i="1"/>
  <c r="A1294" i="1"/>
  <c r="B1293" i="1"/>
  <c r="A1293" i="1"/>
  <c r="B1292" i="1"/>
  <c r="A1292" i="1"/>
  <c r="B1291" i="1"/>
  <c r="A1291" i="1"/>
  <c r="B1290" i="1"/>
  <c r="A1290" i="1"/>
  <c r="B1289" i="1"/>
  <c r="A1289" i="1"/>
  <c r="B1288" i="1"/>
  <c r="A1288" i="1"/>
  <c r="B1287" i="1"/>
  <c r="A1287" i="1"/>
  <c r="B1286" i="1"/>
  <c r="A1286" i="1"/>
  <c r="B1285" i="1"/>
  <c r="A1285" i="1"/>
  <c r="B1284" i="1"/>
  <c r="A1284" i="1"/>
  <c r="B1283" i="1"/>
  <c r="A1283" i="1"/>
  <c r="B1282" i="1"/>
  <c r="A1282" i="1"/>
  <c r="B1281" i="1"/>
  <c r="A1281" i="1"/>
  <c r="B1280" i="1"/>
  <c r="A1280" i="1"/>
  <c r="B1279" i="1"/>
  <c r="A1279" i="1"/>
  <c r="B1278" i="1"/>
  <c r="A1278" i="1"/>
  <c r="B1277" i="1"/>
  <c r="A1277" i="1"/>
  <c r="B1276" i="1"/>
  <c r="A1276" i="1"/>
  <c r="B1275" i="1"/>
  <c r="A1275" i="1"/>
  <c r="B1274" i="1"/>
  <c r="A1274" i="1"/>
  <c r="B1273" i="1"/>
  <c r="A1273" i="1"/>
  <c r="B1272" i="1"/>
  <c r="A1272" i="1"/>
  <c r="B1271" i="1"/>
  <c r="A1271" i="1"/>
  <c r="B1270" i="1"/>
  <c r="A1270" i="1"/>
  <c r="B1269" i="1"/>
  <c r="A1269" i="1"/>
  <c r="B1268" i="1"/>
  <c r="A1268" i="1"/>
  <c r="B1267" i="1"/>
  <c r="A1267" i="1"/>
  <c r="B1266" i="1"/>
  <c r="A1266" i="1"/>
  <c r="B1265" i="1"/>
  <c r="A1265" i="1"/>
  <c r="B1264" i="1"/>
  <c r="A1264" i="1"/>
  <c r="B1263" i="1"/>
  <c r="A1263" i="1"/>
  <c r="B1262" i="1"/>
  <c r="A1262" i="1"/>
  <c r="B1261" i="1"/>
  <c r="A1261" i="1"/>
  <c r="B1260" i="1"/>
  <c r="A1260" i="1"/>
  <c r="B1259" i="1"/>
  <c r="A1259" i="1"/>
  <c r="B1258" i="1"/>
  <c r="A1258" i="1"/>
  <c r="B1257" i="1"/>
  <c r="A1257" i="1"/>
  <c r="B1256" i="1"/>
  <c r="A1256" i="1"/>
  <c r="B1255" i="1"/>
  <c r="A1255" i="1"/>
  <c r="B1254" i="1"/>
  <c r="A1254" i="1"/>
  <c r="B1253" i="1"/>
  <c r="A1253" i="1"/>
  <c r="B1252" i="1"/>
  <c r="A1252" i="1"/>
  <c r="B1251" i="1"/>
  <c r="A1251" i="1"/>
  <c r="B1250" i="1"/>
  <c r="A1250" i="1"/>
  <c r="B1249" i="1"/>
  <c r="A1249" i="1"/>
  <c r="B1248" i="1"/>
  <c r="A1248" i="1"/>
  <c r="B1247" i="1"/>
  <c r="A1247" i="1"/>
  <c r="B1246" i="1"/>
  <c r="A1246" i="1"/>
  <c r="B1245" i="1"/>
  <c r="A1245" i="1"/>
  <c r="B1244" i="1"/>
  <c r="A1244" i="1"/>
  <c r="B1243" i="1"/>
  <c r="A1243" i="1"/>
  <c r="B1242" i="1"/>
  <c r="A1242" i="1"/>
  <c r="B1241" i="1"/>
  <c r="A1241" i="1"/>
  <c r="B1240" i="1"/>
  <c r="A1240" i="1"/>
  <c r="B1239" i="1"/>
  <c r="A1239" i="1"/>
  <c r="B1238" i="1"/>
  <c r="A1238" i="1"/>
  <c r="B1237" i="1"/>
  <c r="A1237" i="1"/>
  <c r="B1236" i="1"/>
  <c r="A1236" i="1"/>
  <c r="B1235" i="1"/>
  <c r="A1235" i="1"/>
  <c r="B1234" i="1"/>
  <c r="A1234" i="1"/>
  <c r="B1233" i="1"/>
  <c r="A1233" i="1"/>
  <c r="B1232" i="1"/>
  <c r="A1232" i="1"/>
  <c r="B1231" i="1"/>
  <c r="A1231" i="1"/>
  <c r="B1230" i="1"/>
  <c r="A1230" i="1"/>
  <c r="B1229" i="1"/>
  <c r="A1229" i="1"/>
  <c r="B1228" i="1"/>
  <c r="A1228" i="1"/>
  <c r="B1227" i="1"/>
  <c r="A1227" i="1"/>
  <c r="B1226" i="1"/>
  <c r="A1226" i="1"/>
  <c r="B1225" i="1"/>
  <c r="A1225" i="1"/>
  <c r="B1224" i="1"/>
  <c r="A1224" i="1"/>
  <c r="B1223" i="1"/>
  <c r="A1223" i="1"/>
  <c r="B1222" i="1"/>
  <c r="A1222" i="1"/>
  <c r="B1221" i="1"/>
  <c r="A1221" i="1"/>
  <c r="B1220" i="1"/>
  <c r="A1220" i="1"/>
  <c r="B1219" i="1"/>
  <c r="A1219" i="1"/>
  <c r="B1218" i="1"/>
  <c r="A1218" i="1"/>
  <c r="B1217" i="1"/>
  <c r="A1217" i="1"/>
  <c r="B1216" i="1"/>
  <c r="A1216" i="1"/>
  <c r="B1215" i="1"/>
  <c r="A1215" i="1"/>
  <c r="B1214" i="1"/>
  <c r="A1214" i="1"/>
  <c r="B1213" i="1"/>
  <c r="A1213" i="1"/>
  <c r="B1212" i="1"/>
  <c r="A1212" i="1"/>
  <c r="B1211" i="1"/>
  <c r="A1211" i="1"/>
  <c r="B1210" i="1"/>
  <c r="A1210" i="1"/>
  <c r="B1209" i="1"/>
  <c r="A1209" i="1"/>
  <c r="B1208" i="1"/>
  <c r="A1208" i="1"/>
  <c r="B1207" i="1"/>
  <c r="A1207" i="1"/>
  <c r="B1206" i="1"/>
  <c r="A1206" i="1"/>
  <c r="B1205" i="1"/>
  <c r="A1205" i="1"/>
  <c r="B1204" i="1"/>
  <c r="A1204" i="1"/>
  <c r="B1203" i="1"/>
  <c r="A1203" i="1"/>
  <c r="B1202" i="1"/>
  <c r="A1202" i="1"/>
  <c r="B1201" i="1"/>
  <c r="A1201" i="1"/>
  <c r="B1200" i="1"/>
  <c r="A1200" i="1"/>
  <c r="B1199" i="1"/>
  <c r="A1199" i="1"/>
  <c r="B1198" i="1"/>
  <c r="A1198" i="1"/>
  <c r="B1197" i="1"/>
  <c r="A1197" i="1"/>
  <c r="B1196" i="1"/>
  <c r="A1196" i="1"/>
  <c r="B1195" i="1"/>
  <c r="A1195" i="1"/>
  <c r="B1194" i="1"/>
  <c r="A1194" i="1"/>
  <c r="B1193" i="1"/>
  <c r="A1193" i="1"/>
  <c r="B1192" i="1"/>
  <c r="A1192" i="1"/>
  <c r="B1191" i="1"/>
  <c r="A1191" i="1"/>
  <c r="B1190" i="1"/>
  <c r="A1190" i="1"/>
  <c r="B1189" i="1"/>
  <c r="A1189" i="1"/>
  <c r="B1188" i="1"/>
  <c r="A1188" i="1"/>
  <c r="B1187" i="1"/>
  <c r="A1187" i="1"/>
  <c r="B1186" i="1"/>
  <c r="A1186" i="1"/>
  <c r="B1185" i="1"/>
  <c r="A1185" i="1"/>
  <c r="B1184" i="1"/>
  <c r="A1184" i="1"/>
  <c r="B1183" i="1"/>
  <c r="A1183" i="1"/>
  <c r="B1182" i="1"/>
  <c r="A1182" i="1"/>
  <c r="B1181" i="1"/>
  <c r="A1181" i="1"/>
  <c r="B1180" i="1"/>
  <c r="A1180" i="1"/>
  <c r="B1179" i="1"/>
  <c r="A1179" i="1"/>
  <c r="B1178" i="1"/>
  <c r="A1178" i="1"/>
  <c r="B1177" i="1"/>
  <c r="A1177" i="1"/>
  <c r="B1176" i="1"/>
  <c r="A1176" i="1"/>
  <c r="B1175" i="1"/>
  <c r="A1175" i="1"/>
  <c r="B1174" i="1"/>
  <c r="A1174" i="1"/>
  <c r="B1173" i="1"/>
  <c r="A1173" i="1"/>
  <c r="B1172" i="1"/>
  <c r="A1172" i="1"/>
  <c r="B1171" i="1"/>
  <c r="A1171" i="1"/>
  <c r="B1170" i="1"/>
  <c r="A1170" i="1"/>
  <c r="B1169" i="1"/>
  <c r="A1169" i="1"/>
  <c r="B1168" i="1"/>
  <c r="A1168" i="1"/>
  <c r="B1167" i="1"/>
  <c r="A1167" i="1"/>
  <c r="B1166" i="1"/>
  <c r="A1166" i="1"/>
  <c r="B1165" i="1"/>
  <c r="A1165" i="1"/>
  <c r="B1164" i="1"/>
  <c r="A1164" i="1"/>
  <c r="B1163" i="1"/>
  <c r="A1163" i="1"/>
  <c r="B1162" i="1"/>
  <c r="A1162" i="1"/>
  <c r="B1161" i="1"/>
  <c r="A1161" i="1"/>
  <c r="B1160" i="1"/>
  <c r="A1160" i="1"/>
  <c r="B1159" i="1"/>
  <c r="A1159" i="1"/>
  <c r="B1158" i="1"/>
  <c r="A1158" i="1"/>
  <c r="B1157" i="1"/>
  <c r="A1157" i="1"/>
  <c r="B1156" i="1"/>
  <c r="A1156" i="1"/>
  <c r="B1155" i="1"/>
  <c r="A1155" i="1"/>
  <c r="B1154" i="1"/>
  <c r="A1154" i="1"/>
  <c r="B1153" i="1"/>
  <c r="A1153" i="1"/>
  <c r="B1152" i="1"/>
  <c r="A1152" i="1"/>
  <c r="B1151" i="1"/>
  <c r="A1151" i="1"/>
  <c r="B1150" i="1"/>
  <c r="A1150" i="1"/>
  <c r="B1149" i="1"/>
  <c r="A1149" i="1"/>
  <c r="B1148" i="1"/>
  <c r="A1148" i="1"/>
  <c r="B1147" i="1"/>
  <c r="A1147" i="1"/>
  <c r="B1146" i="1"/>
  <c r="A1146" i="1"/>
  <c r="B1145" i="1"/>
  <c r="A1145" i="1"/>
  <c r="B1144" i="1"/>
  <c r="A1144" i="1"/>
  <c r="B1143" i="1"/>
  <c r="A1143" i="1"/>
  <c r="B1142" i="1"/>
  <c r="A1142" i="1"/>
  <c r="B1141" i="1"/>
  <c r="A1141" i="1"/>
  <c r="B1140" i="1"/>
  <c r="A1140" i="1"/>
  <c r="B1139" i="1"/>
  <c r="A1139" i="1"/>
  <c r="B1138" i="1"/>
  <c r="A1138" i="1"/>
  <c r="B1137" i="1"/>
  <c r="A1137" i="1"/>
  <c r="B1136" i="1"/>
  <c r="A1136" i="1"/>
  <c r="B1135" i="1"/>
  <c r="A1135" i="1"/>
  <c r="B1134" i="1"/>
  <c r="A1134" i="1"/>
  <c r="B1133" i="1"/>
  <c r="A1133" i="1"/>
  <c r="B1132" i="1"/>
  <c r="A1132" i="1"/>
  <c r="B1131" i="1"/>
  <c r="A1131" i="1"/>
  <c r="B1130" i="1"/>
  <c r="A1130" i="1"/>
  <c r="B1129" i="1"/>
  <c r="A1129" i="1"/>
  <c r="B1128" i="1"/>
  <c r="A1128" i="1"/>
  <c r="B1127" i="1"/>
  <c r="A1127" i="1"/>
  <c r="B1126" i="1"/>
  <c r="A1126" i="1"/>
  <c r="B1125" i="1"/>
  <c r="A1125" i="1"/>
  <c r="B1124" i="1"/>
  <c r="A1124" i="1"/>
  <c r="B1123" i="1"/>
  <c r="A1123" i="1"/>
  <c r="B1122" i="1"/>
  <c r="A1122" i="1"/>
  <c r="B1121" i="1"/>
  <c r="A1121" i="1"/>
  <c r="B1120" i="1"/>
  <c r="A1120" i="1"/>
  <c r="B1119" i="1"/>
  <c r="A1119" i="1"/>
  <c r="B1118" i="1"/>
  <c r="A1118" i="1"/>
  <c r="B1117" i="1"/>
  <c r="A1117" i="1"/>
  <c r="B1116" i="1"/>
  <c r="A1116" i="1"/>
  <c r="B1115" i="1"/>
  <c r="A1115" i="1"/>
  <c r="B1114" i="1"/>
  <c r="A1114" i="1"/>
  <c r="B1113" i="1"/>
  <c r="A1113" i="1"/>
  <c r="B1112" i="1"/>
  <c r="A1112" i="1"/>
  <c r="B1111" i="1"/>
  <c r="A1111" i="1"/>
  <c r="B1110" i="1"/>
  <c r="A1110" i="1"/>
  <c r="B1109" i="1"/>
  <c r="A1109" i="1"/>
  <c r="B1108" i="1"/>
  <c r="A1108" i="1"/>
  <c r="B1107" i="1"/>
  <c r="A1107" i="1"/>
  <c r="B1106" i="1"/>
  <c r="A1106" i="1"/>
  <c r="B1105" i="1"/>
  <c r="A1105" i="1"/>
  <c r="B1104" i="1"/>
  <c r="A1104" i="1"/>
  <c r="B1103" i="1"/>
  <c r="A1103" i="1"/>
  <c r="B1102" i="1"/>
  <c r="A1102" i="1"/>
  <c r="B1101" i="1"/>
  <c r="A1101" i="1"/>
  <c r="B1100" i="1"/>
  <c r="A1100" i="1"/>
  <c r="B1099" i="1"/>
  <c r="A1099" i="1"/>
  <c r="B1098" i="1"/>
  <c r="A1098" i="1"/>
  <c r="B1097" i="1"/>
  <c r="A1097" i="1"/>
  <c r="B1096" i="1"/>
  <c r="A1096" i="1"/>
  <c r="B1095" i="1"/>
  <c r="A1095" i="1"/>
  <c r="B1094" i="1"/>
  <c r="A1094" i="1"/>
  <c r="B1093" i="1"/>
  <c r="A1093" i="1"/>
  <c r="B1092" i="1"/>
  <c r="A1092" i="1"/>
  <c r="B1091" i="1"/>
  <c r="A1091" i="1"/>
  <c r="B1090" i="1"/>
  <c r="A1090" i="1"/>
  <c r="B1089" i="1"/>
  <c r="A1089" i="1"/>
  <c r="B1088" i="1"/>
  <c r="A1088" i="1"/>
  <c r="B1087" i="1"/>
  <c r="A1087" i="1"/>
  <c r="B1086" i="1"/>
  <c r="A1086" i="1"/>
  <c r="B1085" i="1"/>
  <c r="A1085" i="1"/>
  <c r="B1084" i="1"/>
  <c r="A1084" i="1"/>
  <c r="B1083" i="1"/>
  <c r="A1083" i="1"/>
  <c r="B1082" i="1"/>
  <c r="A1082" i="1"/>
  <c r="B1081" i="1"/>
  <c r="A1081" i="1"/>
  <c r="B1080" i="1"/>
  <c r="A1080" i="1"/>
  <c r="B1079" i="1"/>
  <c r="A1079" i="1"/>
  <c r="B1078" i="1"/>
  <c r="A1078" i="1"/>
  <c r="B1077" i="1"/>
  <c r="A1077" i="1"/>
  <c r="B1076" i="1"/>
  <c r="A1076" i="1"/>
  <c r="B1075" i="1"/>
  <c r="A1075" i="1"/>
  <c r="B1074" i="1"/>
  <c r="A1074" i="1"/>
  <c r="B1073" i="1"/>
  <c r="A1073" i="1"/>
  <c r="B1072" i="1"/>
  <c r="A1072" i="1"/>
  <c r="B1071" i="1"/>
  <c r="A1071" i="1"/>
  <c r="B1070" i="1"/>
  <c r="A1070" i="1"/>
  <c r="B1069" i="1"/>
  <c r="A1069" i="1"/>
  <c r="B1068" i="1"/>
  <c r="A1068" i="1"/>
  <c r="B1067" i="1"/>
  <c r="A1067" i="1"/>
  <c r="B1066" i="1"/>
  <c r="A1066" i="1"/>
  <c r="B1065" i="1"/>
  <c r="A1065" i="1"/>
  <c r="B1064" i="1"/>
  <c r="A1064" i="1"/>
  <c r="B1063" i="1"/>
  <c r="A1063" i="1"/>
  <c r="B1062" i="1"/>
  <c r="A1062" i="1"/>
  <c r="B1061" i="1"/>
  <c r="A1061" i="1"/>
  <c r="B1060" i="1"/>
  <c r="A1060" i="1"/>
  <c r="B1059" i="1"/>
  <c r="A1059" i="1"/>
  <c r="B1058" i="1"/>
  <c r="A1058" i="1"/>
  <c r="B1057" i="1"/>
  <c r="A1057" i="1"/>
  <c r="B1056" i="1"/>
  <c r="A1056" i="1"/>
  <c r="B1055" i="1"/>
  <c r="A1055" i="1"/>
  <c r="B1054" i="1"/>
  <c r="A1054" i="1"/>
  <c r="B1053" i="1"/>
  <c r="A1053" i="1"/>
  <c r="B1052" i="1"/>
  <c r="A1052" i="1"/>
  <c r="B1051" i="1"/>
  <c r="A1051" i="1"/>
  <c r="B1050" i="1"/>
  <c r="A1050" i="1"/>
  <c r="B1049" i="1"/>
  <c r="A1049" i="1"/>
  <c r="B1048" i="1"/>
  <c r="A1048" i="1"/>
  <c r="B1047" i="1"/>
  <c r="A1047" i="1"/>
  <c r="B1046" i="1"/>
  <c r="A1046" i="1"/>
  <c r="B1045" i="1"/>
  <c r="A1045" i="1"/>
  <c r="B1044" i="1"/>
  <c r="A1044" i="1"/>
  <c r="B1043" i="1"/>
  <c r="A1043" i="1"/>
  <c r="B1042" i="1"/>
  <c r="A1042" i="1"/>
  <c r="B1041" i="1"/>
  <c r="A1041" i="1"/>
  <c r="B1040" i="1"/>
  <c r="A1040" i="1"/>
  <c r="B1039" i="1"/>
  <c r="A1039" i="1"/>
  <c r="B1038" i="1"/>
  <c r="A1038" i="1"/>
  <c r="B1037" i="1"/>
  <c r="A1037" i="1"/>
  <c r="B1036" i="1"/>
  <c r="A1036" i="1"/>
  <c r="B1035" i="1"/>
  <c r="A1035" i="1"/>
  <c r="B1034" i="1"/>
  <c r="A1034" i="1"/>
  <c r="B1033" i="1"/>
  <c r="A1033" i="1"/>
  <c r="B1032" i="1"/>
  <c r="A1032" i="1"/>
  <c r="B1031" i="1"/>
  <c r="A1031" i="1"/>
  <c r="B1030" i="1"/>
  <c r="A1030" i="1"/>
  <c r="B1029" i="1"/>
  <c r="A1029" i="1"/>
  <c r="B1028" i="1"/>
  <c r="A1028" i="1"/>
  <c r="B1027" i="1"/>
  <c r="A1027" i="1"/>
  <c r="B1026" i="1"/>
  <c r="A1026" i="1"/>
  <c r="B1025" i="1"/>
  <c r="A1025" i="1"/>
  <c r="B1024" i="1"/>
  <c r="A1024" i="1"/>
  <c r="B1023" i="1"/>
  <c r="A1023" i="1"/>
  <c r="B1022" i="1"/>
  <c r="A1022" i="1"/>
  <c r="B1021" i="1"/>
  <c r="A1021" i="1"/>
  <c r="B1020" i="1"/>
  <c r="A1020" i="1"/>
  <c r="B1019" i="1"/>
  <c r="A1019" i="1"/>
  <c r="B1018" i="1"/>
  <c r="A1018" i="1"/>
  <c r="B1017" i="1"/>
  <c r="A1017" i="1"/>
  <c r="B1016" i="1"/>
  <c r="A1016" i="1"/>
  <c r="B1015" i="1"/>
  <c r="A1015" i="1"/>
  <c r="B1014" i="1"/>
  <c r="A1014" i="1"/>
  <c r="B1013" i="1"/>
  <c r="A1013" i="1"/>
  <c r="B1012" i="1"/>
  <c r="A1012" i="1"/>
  <c r="B1011" i="1"/>
  <c r="A1011" i="1"/>
  <c r="B1010" i="1"/>
  <c r="A1010" i="1"/>
  <c r="B1009" i="1"/>
  <c r="A1009" i="1"/>
  <c r="B1008" i="1"/>
  <c r="A1008" i="1"/>
  <c r="B1007" i="1"/>
  <c r="A1007" i="1"/>
  <c r="B1006" i="1"/>
  <c r="A1006" i="1"/>
  <c r="B1005" i="1"/>
  <c r="A1005" i="1"/>
  <c r="B1004" i="1"/>
  <c r="A1004" i="1"/>
  <c r="B1003" i="1"/>
  <c r="A1003" i="1"/>
  <c r="B1002" i="1"/>
  <c r="A1002" i="1"/>
  <c r="B1001" i="1"/>
  <c r="A1001" i="1"/>
  <c r="B1000" i="1"/>
  <c r="A1000" i="1"/>
  <c r="B999" i="1"/>
  <c r="A999" i="1"/>
  <c r="B998" i="1"/>
  <c r="A998" i="1"/>
  <c r="B997" i="1"/>
  <c r="A997" i="1"/>
  <c r="B996" i="1"/>
  <c r="A996" i="1"/>
  <c r="B995" i="1"/>
  <c r="A995" i="1"/>
  <c r="B994" i="1"/>
  <c r="A994" i="1"/>
  <c r="B993" i="1"/>
  <c r="A993" i="1"/>
  <c r="B992" i="1"/>
  <c r="A992" i="1"/>
  <c r="B991" i="1"/>
  <c r="A991" i="1"/>
  <c r="B990" i="1"/>
  <c r="A990" i="1"/>
  <c r="B989" i="1"/>
  <c r="A989" i="1"/>
  <c r="B988" i="1"/>
  <c r="A988" i="1"/>
  <c r="B987" i="1"/>
  <c r="A987" i="1"/>
  <c r="B986" i="1"/>
  <c r="A986" i="1"/>
  <c r="B985" i="1"/>
  <c r="A985" i="1"/>
  <c r="B984" i="1"/>
  <c r="A984" i="1"/>
  <c r="B983" i="1"/>
  <c r="A983" i="1"/>
  <c r="B982" i="1"/>
  <c r="A982" i="1"/>
  <c r="B981" i="1"/>
  <c r="A981" i="1"/>
  <c r="B980" i="1"/>
  <c r="A980" i="1"/>
  <c r="B979" i="1"/>
  <c r="A979" i="1"/>
  <c r="B978" i="1"/>
  <c r="A978" i="1"/>
  <c r="B977" i="1"/>
  <c r="A977" i="1"/>
  <c r="B976" i="1"/>
  <c r="A976" i="1"/>
  <c r="B975" i="1"/>
  <c r="A975" i="1"/>
  <c r="B974" i="1"/>
  <c r="A974" i="1"/>
  <c r="B973" i="1"/>
  <c r="A973" i="1"/>
  <c r="B972" i="1"/>
  <c r="A972" i="1"/>
  <c r="B971" i="1"/>
  <c r="A971" i="1"/>
  <c r="B970" i="1"/>
  <c r="A970" i="1"/>
  <c r="B969" i="1"/>
  <c r="A969" i="1"/>
  <c r="B968" i="1"/>
  <c r="A968" i="1"/>
  <c r="B967" i="1"/>
  <c r="A967" i="1"/>
  <c r="B966" i="1"/>
  <c r="A966" i="1"/>
  <c r="B965" i="1"/>
  <c r="A965" i="1"/>
  <c r="B964" i="1"/>
  <c r="A964" i="1"/>
  <c r="B963" i="1"/>
  <c r="A963" i="1"/>
  <c r="B962" i="1"/>
  <c r="A962" i="1"/>
  <c r="B961" i="1"/>
  <c r="A961" i="1"/>
  <c r="B960" i="1"/>
  <c r="A960" i="1"/>
  <c r="B959" i="1"/>
  <c r="A959" i="1"/>
  <c r="B958" i="1"/>
  <c r="A958" i="1"/>
  <c r="B957" i="1"/>
  <c r="A957" i="1"/>
  <c r="B956" i="1"/>
  <c r="A956" i="1"/>
  <c r="B955" i="1"/>
  <c r="A955" i="1"/>
  <c r="B954" i="1"/>
  <c r="A954" i="1"/>
  <c r="B953" i="1"/>
  <c r="A953" i="1"/>
  <c r="B952" i="1"/>
  <c r="A952" i="1"/>
  <c r="B951" i="1"/>
  <c r="A951" i="1"/>
  <c r="B950" i="1"/>
  <c r="A950" i="1"/>
  <c r="B949" i="1"/>
  <c r="A949" i="1"/>
  <c r="B948" i="1"/>
  <c r="A948" i="1"/>
  <c r="B947" i="1"/>
  <c r="A947" i="1"/>
  <c r="B946" i="1"/>
  <c r="A946" i="1"/>
  <c r="B945" i="1"/>
  <c r="A945" i="1"/>
  <c r="B944" i="1"/>
  <c r="A944" i="1"/>
  <c r="B943" i="1"/>
  <c r="A943" i="1"/>
  <c r="B942" i="1"/>
  <c r="A942" i="1"/>
  <c r="B941" i="1"/>
  <c r="A941" i="1"/>
  <c r="B940" i="1"/>
  <c r="A940" i="1"/>
  <c r="B939" i="1"/>
  <c r="A939" i="1"/>
  <c r="B938" i="1"/>
  <c r="A938" i="1"/>
  <c r="B937" i="1"/>
  <c r="A937" i="1"/>
  <c r="B936" i="1"/>
  <c r="A936" i="1"/>
  <c r="B935" i="1"/>
  <c r="A935" i="1"/>
  <c r="B934" i="1"/>
  <c r="A934" i="1"/>
  <c r="B933" i="1"/>
  <c r="A933" i="1"/>
  <c r="B932" i="1"/>
  <c r="A932" i="1"/>
  <c r="B931" i="1"/>
  <c r="A931" i="1"/>
  <c r="B930" i="1"/>
  <c r="A930" i="1"/>
  <c r="B929" i="1"/>
  <c r="A929" i="1"/>
  <c r="B928" i="1"/>
  <c r="A928" i="1"/>
  <c r="B927" i="1"/>
  <c r="A927" i="1"/>
  <c r="B926" i="1"/>
  <c r="A926" i="1"/>
  <c r="B925" i="1"/>
  <c r="A925" i="1"/>
  <c r="B924" i="1"/>
  <c r="A924" i="1"/>
  <c r="B923" i="1"/>
  <c r="A923" i="1"/>
  <c r="B922" i="1"/>
  <c r="A922" i="1"/>
  <c r="B921" i="1"/>
  <c r="A921" i="1"/>
  <c r="B920" i="1"/>
  <c r="A920" i="1"/>
  <c r="B919" i="1"/>
  <c r="A919" i="1"/>
  <c r="B918" i="1"/>
  <c r="A918" i="1"/>
  <c r="B917" i="1"/>
  <c r="A917" i="1"/>
  <c r="B916" i="1"/>
  <c r="A916" i="1"/>
  <c r="B915" i="1"/>
  <c r="A915" i="1"/>
  <c r="B914" i="1"/>
  <c r="A914" i="1"/>
  <c r="B913" i="1"/>
  <c r="A913" i="1"/>
  <c r="B912" i="1"/>
  <c r="A912" i="1"/>
  <c r="B911" i="1"/>
  <c r="A911" i="1"/>
  <c r="B910" i="1"/>
  <c r="A910" i="1"/>
  <c r="B909" i="1"/>
  <c r="A909" i="1"/>
  <c r="B908" i="1"/>
  <c r="A908" i="1"/>
  <c r="B907" i="1"/>
  <c r="A907" i="1"/>
  <c r="B906" i="1"/>
  <c r="A906" i="1"/>
  <c r="B905" i="1"/>
  <c r="A905" i="1"/>
  <c r="B904" i="1"/>
  <c r="A904" i="1"/>
  <c r="B903" i="1"/>
  <c r="A903" i="1"/>
  <c r="B902" i="1"/>
  <c r="A902" i="1"/>
  <c r="B901" i="1"/>
  <c r="A901" i="1"/>
  <c r="B900" i="1"/>
  <c r="A900" i="1"/>
  <c r="B899" i="1"/>
  <c r="A899" i="1"/>
  <c r="B898" i="1"/>
  <c r="A898" i="1"/>
  <c r="B897" i="1"/>
  <c r="A897" i="1"/>
  <c r="B896" i="1"/>
  <c r="A896" i="1"/>
  <c r="B895" i="1"/>
  <c r="A895" i="1"/>
  <c r="B894" i="1"/>
  <c r="A894" i="1"/>
  <c r="B893" i="1"/>
  <c r="A893" i="1"/>
  <c r="B892" i="1"/>
  <c r="A892" i="1"/>
  <c r="B891" i="1"/>
  <c r="A891" i="1"/>
  <c r="B890" i="1"/>
  <c r="A890" i="1"/>
  <c r="B889" i="1"/>
  <c r="A889" i="1"/>
  <c r="B888" i="1"/>
  <c r="A888" i="1"/>
  <c r="B887" i="1"/>
  <c r="A887" i="1"/>
  <c r="B886" i="1"/>
  <c r="A886" i="1"/>
  <c r="B885" i="1"/>
  <c r="A885" i="1"/>
  <c r="B884" i="1"/>
  <c r="A884" i="1"/>
  <c r="B883" i="1"/>
  <c r="A883" i="1"/>
  <c r="B882" i="1"/>
  <c r="A882" i="1"/>
  <c r="B881" i="1"/>
  <c r="A881" i="1"/>
  <c r="B880" i="1"/>
  <c r="A880" i="1"/>
  <c r="B879" i="1"/>
  <c r="A879" i="1"/>
  <c r="B878" i="1"/>
  <c r="A878" i="1"/>
  <c r="B877" i="1"/>
  <c r="A877" i="1"/>
  <c r="B876" i="1"/>
  <c r="A876" i="1"/>
  <c r="B875" i="1"/>
  <c r="A875" i="1"/>
  <c r="B874" i="1"/>
  <c r="A874" i="1"/>
  <c r="B873" i="1"/>
  <c r="A873" i="1"/>
  <c r="B872" i="1"/>
  <c r="A872" i="1"/>
  <c r="B871" i="1"/>
  <c r="A871" i="1"/>
  <c r="B870" i="1"/>
  <c r="A870" i="1"/>
  <c r="B869" i="1"/>
  <c r="A869" i="1"/>
  <c r="B868" i="1"/>
  <c r="A868" i="1"/>
  <c r="B867" i="1"/>
  <c r="A867" i="1"/>
  <c r="B866" i="1"/>
  <c r="A866" i="1"/>
  <c r="B865" i="1"/>
  <c r="A865" i="1"/>
  <c r="B864" i="1"/>
  <c r="A864" i="1"/>
  <c r="B863" i="1"/>
  <c r="A863" i="1"/>
  <c r="B862" i="1"/>
  <c r="A862" i="1"/>
  <c r="B861" i="1"/>
  <c r="A861" i="1"/>
  <c r="B860" i="1"/>
  <c r="A860" i="1"/>
  <c r="B859" i="1"/>
  <c r="A859" i="1"/>
  <c r="B858" i="1"/>
  <c r="A858" i="1"/>
  <c r="B857" i="1"/>
  <c r="A857" i="1"/>
  <c r="B856" i="1"/>
  <c r="A856" i="1"/>
  <c r="B855" i="1"/>
  <c r="A855" i="1"/>
  <c r="B854" i="1"/>
  <c r="A854" i="1"/>
  <c r="B853" i="1"/>
  <c r="A853" i="1"/>
  <c r="B852" i="1"/>
  <c r="A852" i="1"/>
  <c r="B851" i="1"/>
  <c r="A851" i="1"/>
  <c r="B850" i="1"/>
  <c r="A850" i="1"/>
  <c r="B849" i="1"/>
  <c r="A849" i="1"/>
  <c r="B848" i="1"/>
  <c r="A848" i="1"/>
  <c r="B847" i="1"/>
  <c r="A847" i="1"/>
  <c r="B846" i="1"/>
  <c r="A846" i="1"/>
  <c r="B845" i="1"/>
  <c r="A845" i="1"/>
  <c r="B844" i="1"/>
  <c r="A844" i="1"/>
  <c r="B843" i="1"/>
  <c r="A843" i="1"/>
  <c r="B842" i="1"/>
  <c r="A842" i="1"/>
  <c r="B841" i="1"/>
  <c r="A841" i="1"/>
  <c r="B840" i="1"/>
  <c r="A840" i="1"/>
  <c r="B839" i="1"/>
  <c r="A839" i="1"/>
  <c r="B838" i="1"/>
  <c r="A838" i="1"/>
  <c r="B837" i="1"/>
  <c r="A837" i="1"/>
  <c r="B836" i="1"/>
  <c r="A836" i="1"/>
  <c r="B835" i="1"/>
  <c r="A835" i="1"/>
  <c r="B834" i="1"/>
  <c r="A834" i="1"/>
  <c r="B833" i="1"/>
  <c r="A833" i="1"/>
  <c r="B832" i="1"/>
  <c r="A832" i="1"/>
  <c r="B831" i="1"/>
  <c r="A831" i="1"/>
  <c r="B830" i="1"/>
  <c r="A830" i="1"/>
  <c r="B829" i="1"/>
  <c r="A829" i="1"/>
  <c r="B828" i="1"/>
  <c r="A828" i="1"/>
  <c r="B827" i="1"/>
  <c r="A827" i="1"/>
  <c r="B826" i="1"/>
  <c r="A826" i="1"/>
  <c r="B825" i="1"/>
  <c r="A825" i="1"/>
  <c r="B824" i="1"/>
  <c r="A824" i="1"/>
  <c r="B823" i="1"/>
  <c r="A823" i="1"/>
  <c r="B822" i="1"/>
  <c r="A822" i="1"/>
  <c r="B821" i="1"/>
  <c r="A821" i="1"/>
  <c r="B820" i="1"/>
  <c r="A820" i="1"/>
  <c r="B819" i="1"/>
  <c r="A819" i="1"/>
  <c r="B818" i="1"/>
  <c r="A818" i="1"/>
  <c r="B817" i="1"/>
  <c r="A817" i="1"/>
  <c r="B816" i="1"/>
  <c r="A816" i="1"/>
  <c r="B815" i="1"/>
  <c r="A815" i="1"/>
  <c r="B814" i="1"/>
  <c r="A814" i="1"/>
  <c r="B813" i="1"/>
  <c r="A813" i="1"/>
  <c r="B812" i="1"/>
  <c r="A812" i="1"/>
  <c r="B811" i="1"/>
  <c r="A811" i="1"/>
  <c r="B810" i="1"/>
  <c r="A810" i="1"/>
  <c r="B809" i="1"/>
  <c r="A809" i="1"/>
  <c r="B808" i="1"/>
  <c r="A808" i="1"/>
  <c r="B807" i="1"/>
  <c r="A807" i="1"/>
  <c r="B806" i="1"/>
  <c r="A806" i="1"/>
  <c r="B805" i="1"/>
  <c r="A805" i="1"/>
  <c r="B804" i="1"/>
  <c r="A804" i="1"/>
  <c r="B803" i="1"/>
  <c r="A803" i="1"/>
  <c r="B802" i="1"/>
  <c r="A802" i="1"/>
  <c r="B801" i="1"/>
  <c r="A801" i="1"/>
  <c r="B800" i="1"/>
  <c r="A800" i="1"/>
  <c r="B799" i="1"/>
  <c r="A799" i="1"/>
  <c r="B798" i="1"/>
  <c r="A798" i="1"/>
  <c r="B797" i="1"/>
  <c r="A797" i="1"/>
  <c r="B796" i="1"/>
  <c r="A796" i="1"/>
  <c r="B795" i="1"/>
  <c r="A795" i="1"/>
  <c r="B794" i="1"/>
  <c r="A794" i="1"/>
  <c r="B793" i="1"/>
  <c r="A793" i="1"/>
  <c r="B792" i="1"/>
  <c r="A792" i="1"/>
  <c r="B791" i="1"/>
  <c r="A791" i="1"/>
  <c r="B790" i="1"/>
  <c r="A790" i="1"/>
  <c r="B789" i="1"/>
  <c r="A789" i="1"/>
  <c r="B788" i="1"/>
  <c r="A788" i="1"/>
  <c r="B787" i="1"/>
  <c r="A787" i="1"/>
  <c r="B786" i="1"/>
  <c r="A786" i="1"/>
  <c r="B785" i="1"/>
  <c r="A785" i="1"/>
  <c r="B784" i="1"/>
  <c r="A784" i="1"/>
  <c r="B783" i="1"/>
  <c r="A783" i="1"/>
  <c r="B782" i="1"/>
  <c r="A782" i="1"/>
  <c r="B781" i="1"/>
  <c r="A781" i="1"/>
  <c r="B780" i="1"/>
  <c r="A780" i="1"/>
  <c r="B779" i="1"/>
  <c r="A779" i="1"/>
  <c r="B778" i="1"/>
  <c r="A778" i="1"/>
  <c r="B777" i="1"/>
  <c r="A777" i="1"/>
  <c r="B776" i="1"/>
  <c r="A776" i="1"/>
  <c r="B775" i="1"/>
  <c r="A775" i="1"/>
  <c r="B774" i="1"/>
  <c r="A774" i="1"/>
  <c r="B773" i="1"/>
  <c r="A773" i="1"/>
  <c r="B772" i="1"/>
  <c r="A772" i="1"/>
  <c r="B771" i="1"/>
  <c r="A771" i="1"/>
  <c r="B770" i="1"/>
  <c r="A770" i="1"/>
  <c r="B769" i="1"/>
  <c r="A769" i="1"/>
  <c r="B768" i="1"/>
  <c r="A768" i="1"/>
  <c r="B767" i="1"/>
  <c r="A767" i="1"/>
  <c r="B766" i="1"/>
  <c r="A766" i="1"/>
  <c r="B765" i="1"/>
  <c r="A765" i="1"/>
  <c r="B764" i="1"/>
  <c r="A764" i="1"/>
  <c r="B763" i="1"/>
  <c r="A763" i="1"/>
  <c r="B762" i="1"/>
  <c r="A762" i="1"/>
  <c r="B761" i="1"/>
  <c r="A761" i="1"/>
  <c r="B760" i="1"/>
  <c r="A760" i="1"/>
  <c r="B759" i="1"/>
  <c r="A759" i="1"/>
  <c r="B758" i="1"/>
  <c r="A758" i="1"/>
  <c r="B757" i="1"/>
  <c r="A757" i="1"/>
  <c r="B756" i="1"/>
  <c r="A756" i="1"/>
  <c r="B755" i="1"/>
  <c r="A755" i="1"/>
  <c r="B754" i="1"/>
  <c r="A754" i="1"/>
  <c r="B753" i="1"/>
  <c r="A753" i="1"/>
  <c r="B752" i="1"/>
  <c r="A752" i="1"/>
  <c r="B751" i="1"/>
  <c r="A751" i="1"/>
  <c r="B750" i="1"/>
  <c r="A750" i="1"/>
  <c r="B749" i="1"/>
  <c r="A749" i="1"/>
  <c r="B748" i="1"/>
  <c r="A748" i="1"/>
  <c r="B747" i="1"/>
  <c r="A747" i="1"/>
  <c r="B746" i="1"/>
  <c r="A746" i="1"/>
  <c r="B745" i="1"/>
  <c r="A745" i="1"/>
  <c r="B744" i="1"/>
  <c r="A744" i="1"/>
  <c r="B743" i="1"/>
  <c r="A743" i="1"/>
  <c r="B742" i="1"/>
  <c r="A742" i="1"/>
  <c r="B741" i="1"/>
  <c r="A741" i="1"/>
  <c r="B740" i="1"/>
  <c r="A740" i="1"/>
  <c r="B739" i="1"/>
  <c r="A739" i="1"/>
  <c r="B738" i="1"/>
  <c r="A738" i="1"/>
  <c r="B737" i="1"/>
  <c r="A737" i="1"/>
  <c r="B736" i="1"/>
  <c r="A736" i="1"/>
  <c r="B735" i="1"/>
  <c r="A735" i="1"/>
  <c r="B734" i="1"/>
  <c r="A734" i="1"/>
  <c r="B733" i="1"/>
  <c r="A733" i="1"/>
  <c r="B732" i="1"/>
  <c r="A732" i="1"/>
  <c r="B731" i="1"/>
  <c r="A731" i="1"/>
  <c r="B730" i="1"/>
  <c r="A730" i="1"/>
  <c r="B729" i="1"/>
  <c r="A729" i="1"/>
  <c r="B728" i="1"/>
  <c r="A728" i="1"/>
  <c r="B727" i="1"/>
  <c r="A727" i="1"/>
  <c r="B726" i="1"/>
  <c r="A726" i="1"/>
  <c r="B725" i="1"/>
  <c r="A725" i="1"/>
  <c r="B724" i="1"/>
  <c r="A724" i="1"/>
  <c r="B723" i="1"/>
  <c r="A723" i="1"/>
  <c r="B722" i="1"/>
  <c r="A722" i="1"/>
  <c r="B721" i="1"/>
  <c r="A721" i="1"/>
  <c r="B720" i="1"/>
  <c r="A720" i="1"/>
  <c r="B719" i="1"/>
  <c r="A719" i="1"/>
  <c r="B718" i="1"/>
  <c r="A718" i="1"/>
  <c r="B717" i="1"/>
  <c r="A717" i="1"/>
  <c r="B716" i="1"/>
  <c r="A716" i="1"/>
  <c r="B715" i="1"/>
  <c r="A715" i="1"/>
  <c r="B714" i="1"/>
  <c r="A714" i="1"/>
  <c r="B713" i="1"/>
  <c r="A713" i="1"/>
  <c r="B712" i="1"/>
  <c r="A712" i="1"/>
  <c r="B711" i="1"/>
  <c r="A711" i="1"/>
  <c r="B710" i="1"/>
  <c r="A710" i="1"/>
  <c r="B709" i="1"/>
  <c r="A709" i="1"/>
  <c r="B708" i="1"/>
  <c r="A708" i="1"/>
  <c r="B707" i="1"/>
  <c r="A707" i="1"/>
  <c r="B706" i="1"/>
  <c r="A706" i="1"/>
  <c r="B705" i="1"/>
  <c r="A705" i="1"/>
  <c r="B704" i="1"/>
  <c r="A704" i="1"/>
  <c r="B703" i="1"/>
  <c r="A703" i="1"/>
  <c r="B702" i="1"/>
  <c r="A702" i="1"/>
  <c r="B701" i="1"/>
  <c r="A701" i="1"/>
  <c r="B700" i="1"/>
  <c r="A700" i="1"/>
  <c r="B699" i="1"/>
  <c r="A699" i="1"/>
  <c r="B698" i="1"/>
  <c r="A698" i="1"/>
  <c r="B697" i="1"/>
  <c r="A697" i="1"/>
  <c r="B696" i="1"/>
  <c r="A696" i="1"/>
  <c r="B695" i="1"/>
  <c r="A695" i="1"/>
  <c r="B694" i="1"/>
  <c r="A694" i="1"/>
  <c r="B693" i="1"/>
  <c r="A693" i="1"/>
  <c r="B692" i="1"/>
  <c r="A692" i="1"/>
  <c r="B691" i="1"/>
  <c r="A691" i="1"/>
  <c r="B690" i="1"/>
  <c r="A690" i="1"/>
  <c r="B689" i="1"/>
  <c r="A689" i="1"/>
  <c r="B688" i="1"/>
  <c r="A688" i="1"/>
  <c r="B687" i="1"/>
  <c r="A687" i="1"/>
  <c r="B686" i="1"/>
  <c r="A686" i="1"/>
  <c r="B685" i="1"/>
  <c r="A685" i="1"/>
  <c r="B684" i="1"/>
  <c r="A684" i="1"/>
  <c r="B683" i="1"/>
  <c r="A683" i="1"/>
  <c r="B682" i="1"/>
  <c r="A682" i="1"/>
  <c r="B681" i="1"/>
  <c r="A681" i="1"/>
  <c r="B680" i="1"/>
  <c r="A680" i="1"/>
  <c r="B679" i="1"/>
  <c r="A679" i="1"/>
  <c r="B678" i="1"/>
  <c r="A678" i="1"/>
  <c r="B677" i="1"/>
  <c r="A677" i="1"/>
  <c r="B676" i="1"/>
  <c r="A676" i="1"/>
  <c r="B675" i="1"/>
  <c r="A675" i="1"/>
  <c r="B674" i="1"/>
  <c r="A674" i="1"/>
  <c r="B673" i="1"/>
  <c r="A673" i="1"/>
  <c r="B672" i="1"/>
  <c r="A672" i="1"/>
  <c r="B671" i="1"/>
  <c r="A671" i="1"/>
  <c r="B670" i="1"/>
  <c r="A670" i="1"/>
  <c r="B669" i="1"/>
  <c r="A669" i="1"/>
  <c r="B668" i="1"/>
  <c r="A668" i="1"/>
  <c r="B667" i="1"/>
  <c r="A667" i="1"/>
  <c r="B666" i="1"/>
  <c r="A666" i="1"/>
  <c r="B665" i="1"/>
  <c r="A665" i="1"/>
  <c r="B664" i="1"/>
  <c r="A664" i="1"/>
  <c r="B663" i="1"/>
  <c r="A663" i="1"/>
  <c r="B662" i="1"/>
  <c r="A662" i="1"/>
  <c r="B661" i="1"/>
  <c r="A661" i="1"/>
  <c r="B660" i="1"/>
  <c r="A660" i="1"/>
  <c r="B659" i="1"/>
  <c r="A659" i="1"/>
  <c r="B658" i="1"/>
  <c r="A658" i="1"/>
  <c r="B657" i="1"/>
  <c r="A657" i="1"/>
  <c r="B656" i="1"/>
  <c r="A656" i="1"/>
  <c r="B655" i="1"/>
  <c r="A655" i="1"/>
  <c r="B654" i="1"/>
  <c r="A654" i="1"/>
  <c r="B653" i="1"/>
  <c r="A653" i="1"/>
  <c r="B652" i="1"/>
  <c r="A652" i="1"/>
  <c r="B651" i="1"/>
  <c r="A651" i="1"/>
  <c r="B650" i="1"/>
  <c r="A650" i="1"/>
  <c r="B649" i="1"/>
  <c r="A649" i="1"/>
  <c r="B648" i="1"/>
  <c r="A648" i="1"/>
  <c r="B647" i="1"/>
  <c r="A647" i="1"/>
  <c r="B646" i="1"/>
  <c r="A646" i="1"/>
  <c r="B645" i="1"/>
  <c r="A645" i="1"/>
  <c r="B644" i="1"/>
  <c r="A644" i="1"/>
  <c r="B643" i="1"/>
  <c r="A643" i="1"/>
  <c r="B642" i="1"/>
  <c r="A642" i="1"/>
  <c r="B641" i="1"/>
  <c r="A641" i="1"/>
  <c r="B640" i="1"/>
  <c r="A640" i="1"/>
  <c r="B639" i="1"/>
  <c r="A639" i="1"/>
  <c r="B638" i="1"/>
  <c r="A638" i="1"/>
  <c r="B637" i="1"/>
  <c r="A637" i="1"/>
  <c r="B636" i="1"/>
  <c r="A636" i="1"/>
  <c r="B635" i="1"/>
  <c r="A635" i="1"/>
  <c r="B634" i="1"/>
  <c r="A634" i="1"/>
  <c r="B633" i="1"/>
  <c r="A633" i="1"/>
  <c r="B632" i="1"/>
  <c r="A632" i="1"/>
  <c r="B631" i="1"/>
  <c r="A631" i="1"/>
  <c r="B630" i="1"/>
  <c r="A630" i="1"/>
  <c r="B629" i="1"/>
  <c r="A629" i="1"/>
  <c r="B628" i="1"/>
  <c r="A628" i="1"/>
  <c r="B627" i="1"/>
  <c r="A627" i="1"/>
  <c r="B626" i="1"/>
  <c r="A626" i="1"/>
  <c r="B625" i="1"/>
  <c r="A625" i="1"/>
  <c r="B624" i="1"/>
  <c r="A624" i="1"/>
  <c r="B623" i="1"/>
  <c r="A623" i="1"/>
  <c r="B622" i="1"/>
  <c r="A622" i="1"/>
  <c r="B621" i="1"/>
  <c r="A621" i="1"/>
  <c r="B620" i="1"/>
  <c r="A620" i="1"/>
  <c r="B619" i="1"/>
  <c r="A619" i="1"/>
  <c r="B618" i="1"/>
  <c r="A618" i="1"/>
  <c r="B617" i="1"/>
  <c r="A617" i="1"/>
  <c r="B616" i="1"/>
  <c r="A616" i="1"/>
  <c r="B615" i="1"/>
  <c r="A615" i="1"/>
  <c r="B614" i="1"/>
  <c r="A614" i="1"/>
  <c r="B613" i="1"/>
  <c r="A613" i="1"/>
  <c r="B612" i="1"/>
  <c r="A612" i="1"/>
  <c r="B611" i="1"/>
  <c r="A611" i="1"/>
  <c r="B610" i="1"/>
  <c r="A610" i="1"/>
  <c r="B609" i="1"/>
  <c r="A609" i="1"/>
  <c r="B608" i="1"/>
  <c r="A608" i="1"/>
  <c r="B607" i="1"/>
  <c r="A607" i="1"/>
  <c r="B606" i="1"/>
  <c r="A606" i="1"/>
  <c r="B605" i="1"/>
  <c r="A605" i="1"/>
  <c r="B604" i="1"/>
  <c r="A604" i="1"/>
  <c r="B603" i="1"/>
  <c r="A603" i="1"/>
  <c r="B602" i="1"/>
  <c r="A602" i="1"/>
  <c r="B601" i="1"/>
  <c r="A601" i="1"/>
  <c r="B600" i="1"/>
  <c r="A600" i="1"/>
  <c r="B599" i="1"/>
  <c r="A599" i="1"/>
  <c r="B598" i="1"/>
  <c r="A598" i="1"/>
  <c r="B597" i="1"/>
  <c r="A597" i="1"/>
  <c r="B596" i="1"/>
  <c r="A596" i="1"/>
  <c r="B595" i="1"/>
  <c r="A595" i="1"/>
  <c r="B594" i="1"/>
  <c r="A594" i="1"/>
  <c r="B593" i="1"/>
  <c r="A593" i="1"/>
  <c r="B592" i="1"/>
  <c r="A592" i="1"/>
  <c r="B591" i="1"/>
  <c r="A591" i="1"/>
  <c r="B590" i="1"/>
  <c r="A590" i="1"/>
  <c r="B589" i="1"/>
  <c r="A589" i="1"/>
  <c r="B588" i="1"/>
  <c r="A588" i="1"/>
  <c r="B587" i="1"/>
  <c r="A587" i="1"/>
  <c r="B586" i="1"/>
  <c r="A586" i="1"/>
  <c r="B585" i="1"/>
  <c r="A585" i="1"/>
  <c r="B584" i="1"/>
  <c r="A584" i="1"/>
  <c r="B583" i="1"/>
  <c r="A583" i="1"/>
  <c r="B582" i="1"/>
  <c r="A582" i="1"/>
  <c r="B581" i="1"/>
  <c r="A581" i="1"/>
  <c r="B580" i="1"/>
  <c r="A580" i="1"/>
  <c r="B579" i="1"/>
  <c r="A579" i="1"/>
  <c r="B578" i="1"/>
  <c r="A578" i="1"/>
  <c r="B577" i="1"/>
  <c r="A577" i="1"/>
  <c r="B576" i="1"/>
  <c r="A576" i="1"/>
  <c r="B575" i="1"/>
  <c r="A575" i="1"/>
  <c r="B574" i="1"/>
  <c r="A574" i="1"/>
  <c r="B573" i="1"/>
  <c r="A573" i="1"/>
  <c r="B572" i="1"/>
  <c r="A572" i="1"/>
  <c r="B571" i="1"/>
  <c r="A571" i="1"/>
  <c r="B570" i="1"/>
  <c r="A570" i="1"/>
  <c r="B569" i="1"/>
  <c r="A569" i="1"/>
  <c r="B568" i="1"/>
  <c r="A568" i="1"/>
  <c r="B567" i="1"/>
  <c r="A567" i="1"/>
  <c r="B566" i="1"/>
  <c r="A566" i="1"/>
  <c r="B565" i="1"/>
  <c r="A565" i="1"/>
  <c r="B564" i="1"/>
  <c r="A564" i="1"/>
  <c r="B563" i="1"/>
  <c r="A563" i="1"/>
  <c r="B562" i="1"/>
  <c r="A562" i="1"/>
  <c r="B561" i="1"/>
  <c r="A561" i="1"/>
  <c r="B560" i="1"/>
  <c r="A560" i="1"/>
  <c r="B559" i="1"/>
  <c r="A559" i="1"/>
  <c r="B558" i="1"/>
  <c r="A558" i="1"/>
  <c r="B557" i="1"/>
  <c r="A557" i="1"/>
  <c r="B556" i="1"/>
  <c r="A556" i="1"/>
  <c r="B555" i="1"/>
  <c r="A555" i="1"/>
  <c r="B554" i="1"/>
  <c r="A554" i="1"/>
  <c r="B553" i="1"/>
  <c r="A553" i="1"/>
  <c r="B552" i="1"/>
  <c r="A552" i="1"/>
  <c r="B551" i="1"/>
  <c r="A551" i="1"/>
  <c r="B550" i="1"/>
  <c r="A550" i="1"/>
  <c r="B549" i="1"/>
  <c r="A549" i="1"/>
  <c r="B548" i="1"/>
  <c r="A548" i="1"/>
  <c r="B547" i="1"/>
  <c r="A547" i="1"/>
  <c r="B546" i="1"/>
  <c r="A546" i="1"/>
  <c r="B545" i="1"/>
  <c r="A545" i="1"/>
  <c r="B544" i="1"/>
  <c r="A544" i="1"/>
  <c r="B543" i="1"/>
  <c r="A543" i="1"/>
  <c r="B542" i="1"/>
  <c r="A542" i="1"/>
  <c r="B541" i="1"/>
  <c r="A541" i="1"/>
  <c r="B540" i="1"/>
  <c r="A540" i="1"/>
  <c r="B539" i="1"/>
  <c r="A539" i="1"/>
  <c r="B538" i="1"/>
  <c r="A538" i="1"/>
  <c r="B537" i="1"/>
  <c r="A537" i="1"/>
  <c r="B536" i="1"/>
  <c r="A536" i="1"/>
  <c r="B535" i="1"/>
  <c r="A535" i="1"/>
  <c r="B534" i="1"/>
  <c r="A534" i="1"/>
  <c r="B533" i="1"/>
  <c r="A533" i="1"/>
  <c r="B532" i="1"/>
  <c r="A532" i="1"/>
  <c r="B531" i="1"/>
  <c r="A531" i="1"/>
  <c r="B530" i="1"/>
  <c r="A530" i="1"/>
  <c r="B529" i="1"/>
  <c r="A529" i="1"/>
  <c r="B528" i="1"/>
  <c r="A528" i="1"/>
  <c r="B527" i="1"/>
  <c r="A527" i="1"/>
  <c r="B526" i="1"/>
  <c r="A526" i="1"/>
  <c r="B525" i="1"/>
  <c r="A525" i="1"/>
  <c r="B524" i="1"/>
  <c r="A524" i="1"/>
  <c r="B523" i="1"/>
  <c r="A523" i="1"/>
  <c r="B522" i="1"/>
  <c r="A522" i="1"/>
  <c r="B521" i="1"/>
  <c r="A521" i="1"/>
  <c r="B520" i="1"/>
  <c r="A520" i="1"/>
  <c r="B519" i="1"/>
  <c r="A519" i="1"/>
  <c r="B518" i="1"/>
  <c r="A518" i="1"/>
  <c r="B517" i="1"/>
  <c r="A517" i="1"/>
  <c r="B516" i="1"/>
  <c r="A516" i="1"/>
  <c r="B515" i="1"/>
  <c r="A515" i="1"/>
  <c r="B514" i="1"/>
  <c r="A514" i="1"/>
  <c r="B513" i="1"/>
  <c r="A513" i="1"/>
  <c r="B512" i="1"/>
  <c r="A512" i="1"/>
  <c r="B511" i="1"/>
  <c r="A511" i="1"/>
  <c r="B510" i="1"/>
  <c r="A510" i="1"/>
  <c r="B509" i="1"/>
  <c r="A509" i="1"/>
  <c r="B508" i="1"/>
  <c r="A508" i="1"/>
  <c r="B507" i="1"/>
  <c r="A507" i="1"/>
  <c r="B506" i="1"/>
  <c r="A506" i="1"/>
  <c r="B505" i="1"/>
  <c r="A505" i="1"/>
  <c r="B504" i="1"/>
  <c r="A504" i="1"/>
  <c r="B503" i="1"/>
  <c r="A503" i="1"/>
  <c r="B502" i="1"/>
  <c r="A502" i="1"/>
  <c r="B501" i="1"/>
  <c r="A501" i="1"/>
  <c r="B500" i="1"/>
  <c r="A500" i="1"/>
  <c r="B499" i="1"/>
  <c r="A499" i="1"/>
  <c r="B498" i="1"/>
  <c r="A498" i="1"/>
  <c r="B497" i="1"/>
  <c r="A497" i="1"/>
  <c r="B496" i="1"/>
  <c r="A496" i="1"/>
  <c r="B495" i="1"/>
  <c r="A495" i="1"/>
  <c r="B494" i="1"/>
  <c r="A494" i="1"/>
  <c r="B493" i="1"/>
  <c r="A493" i="1"/>
  <c r="B492" i="1"/>
  <c r="A492" i="1"/>
  <c r="B491" i="1"/>
  <c r="A491" i="1"/>
  <c r="B490" i="1"/>
  <c r="A490" i="1"/>
  <c r="B489" i="1"/>
  <c r="A489" i="1"/>
  <c r="B488" i="1"/>
  <c r="A488" i="1"/>
  <c r="B487" i="1"/>
  <c r="A487" i="1"/>
  <c r="B486" i="1"/>
  <c r="A486" i="1"/>
  <c r="B485" i="1"/>
  <c r="A485" i="1"/>
  <c r="B484" i="1"/>
  <c r="A484" i="1"/>
  <c r="B483" i="1"/>
  <c r="A483" i="1"/>
  <c r="B482" i="1"/>
  <c r="A482" i="1"/>
  <c r="B481" i="1"/>
  <c r="A481" i="1"/>
  <c r="B480" i="1"/>
  <c r="A480" i="1"/>
  <c r="B479" i="1"/>
  <c r="A479" i="1"/>
  <c r="B478" i="1"/>
  <c r="A478" i="1"/>
  <c r="B473" i="1"/>
  <c r="A473" i="1"/>
  <c r="B472" i="1"/>
  <c r="A472" i="1"/>
  <c r="B471" i="1"/>
  <c r="A471" i="1"/>
  <c r="B470" i="1"/>
  <c r="A470" i="1"/>
  <c r="B469" i="1"/>
  <c r="A469" i="1"/>
  <c r="B468" i="1"/>
  <c r="A468" i="1"/>
  <c r="B467" i="1"/>
  <c r="A467" i="1"/>
  <c r="B466" i="1"/>
  <c r="A466" i="1"/>
  <c r="B465" i="1"/>
  <c r="A465" i="1"/>
  <c r="B464" i="1"/>
  <c r="A464" i="1"/>
  <c r="B463" i="1"/>
  <c r="A463" i="1"/>
  <c r="B462" i="1"/>
  <c r="A462" i="1"/>
  <c r="B461" i="1"/>
  <c r="A461" i="1"/>
  <c r="B460" i="1"/>
  <c r="A460" i="1"/>
  <c r="B459" i="1"/>
  <c r="A459" i="1"/>
  <c r="B458" i="1"/>
  <c r="A458" i="1"/>
  <c r="B457" i="1"/>
  <c r="A457" i="1"/>
  <c r="B456" i="1"/>
  <c r="A456" i="1"/>
  <c r="B455" i="1"/>
  <c r="A455" i="1"/>
  <c r="B454" i="1"/>
  <c r="A454" i="1"/>
  <c r="B453" i="1"/>
  <c r="A453" i="1"/>
  <c r="B452" i="1"/>
  <c r="A452" i="1"/>
  <c r="B451" i="1"/>
  <c r="A451" i="1"/>
  <c r="B450" i="1"/>
  <c r="A450" i="1"/>
  <c r="B449" i="1"/>
  <c r="A449" i="1"/>
  <c r="B448" i="1"/>
  <c r="A448" i="1"/>
  <c r="B447" i="1"/>
  <c r="A447" i="1"/>
  <c r="B446" i="1"/>
  <c r="A446" i="1"/>
  <c r="B445" i="1"/>
  <c r="A445" i="1"/>
  <c r="B444" i="1"/>
  <c r="A444" i="1"/>
  <c r="B443" i="1"/>
  <c r="A443" i="1"/>
  <c r="B442" i="1"/>
  <c r="A442" i="1"/>
  <c r="B441" i="1"/>
  <c r="A441" i="1"/>
  <c r="B440" i="1"/>
  <c r="A440" i="1"/>
  <c r="B439" i="1"/>
  <c r="A439" i="1"/>
  <c r="B438" i="1"/>
  <c r="A438" i="1"/>
  <c r="B437" i="1"/>
  <c r="A437" i="1"/>
  <c r="B436" i="1"/>
  <c r="A436" i="1"/>
  <c r="B435" i="1"/>
  <c r="A435" i="1"/>
  <c r="B434" i="1"/>
  <c r="A434" i="1"/>
  <c r="B433" i="1"/>
  <c r="A433" i="1"/>
  <c r="B432" i="1"/>
  <c r="A432" i="1"/>
  <c r="B431" i="1"/>
  <c r="A431" i="1"/>
  <c r="B430" i="1"/>
  <c r="A430" i="1"/>
  <c r="B429" i="1"/>
  <c r="A429" i="1"/>
  <c r="B428" i="1"/>
  <c r="A428" i="1"/>
  <c r="B427" i="1"/>
  <c r="A427" i="1"/>
  <c r="B426" i="1"/>
  <c r="A426" i="1"/>
  <c r="B425" i="1"/>
  <c r="A425" i="1"/>
  <c r="B424" i="1"/>
  <c r="A424" i="1"/>
  <c r="B423" i="1"/>
  <c r="A423" i="1"/>
  <c r="B422" i="1"/>
  <c r="A422" i="1"/>
  <c r="B421" i="1"/>
  <c r="A421" i="1"/>
  <c r="B420" i="1"/>
  <c r="A420" i="1"/>
  <c r="B419" i="1"/>
  <c r="A419" i="1"/>
  <c r="B418" i="1"/>
  <c r="A418" i="1"/>
  <c r="B417" i="1"/>
  <c r="A417" i="1"/>
  <c r="B416" i="1"/>
  <c r="A416" i="1"/>
  <c r="B415" i="1"/>
  <c r="A415" i="1"/>
  <c r="B414" i="1"/>
  <c r="A414" i="1"/>
  <c r="B413" i="1"/>
  <c r="A413" i="1"/>
  <c r="B412" i="1"/>
  <c r="A412" i="1"/>
  <c r="B411" i="1"/>
  <c r="A411" i="1"/>
  <c r="B410" i="1"/>
  <c r="A410" i="1"/>
  <c r="B409" i="1"/>
  <c r="A409" i="1"/>
  <c r="B408" i="1"/>
  <c r="A408" i="1"/>
  <c r="B407" i="1"/>
  <c r="A407" i="1"/>
  <c r="B406" i="1"/>
  <c r="A406" i="1"/>
  <c r="B405" i="1"/>
  <c r="A405" i="1"/>
  <c r="B404" i="1"/>
  <c r="A404" i="1"/>
  <c r="B403" i="1"/>
  <c r="A403" i="1"/>
  <c r="B402" i="1"/>
  <c r="A402" i="1"/>
  <c r="B401" i="1"/>
  <c r="A401" i="1"/>
  <c r="B400" i="1"/>
  <c r="A400" i="1"/>
  <c r="B399" i="1"/>
  <c r="A399" i="1"/>
  <c r="B398" i="1"/>
  <c r="A398" i="1"/>
  <c r="B397" i="1"/>
  <c r="A397" i="1"/>
  <c r="B396" i="1"/>
  <c r="A396" i="1"/>
  <c r="B395" i="1"/>
  <c r="A395" i="1"/>
  <c r="B394" i="1"/>
  <c r="A394" i="1"/>
  <c r="B393" i="1"/>
  <c r="A393" i="1"/>
  <c r="B392" i="1"/>
  <c r="A392" i="1"/>
  <c r="B391" i="1"/>
  <c r="A391" i="1"/>
  <c r="B390" i="1"/>
  <c r="A390" i="1"/>
  <c r="B389" i="1"/>
  <c r="A389" i="1"/>
  <c r="B388" i="1"/>
  <c r="A388" i="1"/>
  <c r="B387" i="1"/>
  <c r="A387" i="1"/>
  <c r="B386" i="1"/>
  <c r="A386" i="1"/>
  <c r="B385" i="1"/>
  <c r="A385" i="1"/>
  <c r="B384" i="1"/>
  <c r="A384" i="1"/>
  <c r="B383" i="1"/>
  <c r="A383" i="1"/>
  <c r="B382" i="1"/>
  <c r="A382" i="1"/>
  <c r="B381" i="1"/>
  <c r="A381" i="1"/>
  <c r="B380" i="1"/>
  <c r="A380" i="1"/>
  <c r="B379" i="1"/>
  <c r="A379" i="1"/>
  <c r="B378" i="1"/>
  <c r="A378" i="1"/>
  <c r="B377" i="1"/>
  <c r="A377" i="1"/>
  <c r="B376" i="1"/>
  <c r="A376" i="1"/>
  <c r="B375" i="1"/>
  <c r="A375" i="1"/>
  <c r="B374" i="1"/>
  <c r="A374" i="1"/>
  <c r="B373" i="1"/>
  <c r="A373" i="1"/>
  <c r="B372" i="1"/>
  <c r="A372" i="1"/>
  <c r="B371" i="1"/>
  <c r="A371" i="1"/>
  <c r="B370" i="1"/>
  <c r="A370" i="1"/>
  <c r="B369" i="1"/>
  <c r="A369" i="1"/>
  <c r="B368" i="1"/>
  <c r="A368" i="1"/>
  <c r="B367" i="1"/>
  <c r="A367" i="1"/>
  <c r="B366" i="1"/>
  <c r="A366" i="1"/>
  <c r="B365" i="1"/>
  <c r="A365" i="1"/>
  <c r="B364" i="1"/>
  <c r="A364" i="1"/>
  <c r="B363" i="1"/>
  <c r="A363" i="1"/>
  <c r="B362" i="1"/>
  <c r="A362" i="1"/>
  <c r="B361" i="1"/>
  <c r="A361" i="1"/>
  <c r="B360" i="1"/>
  <c r="A360" i="1"/>
  <c r="B359" i="1"/>
  <c r="A359" i="1"/>
  <c r="B358" i="1"/>
  <c r="A358" i="1"/>
  <c r="B357" i="1"/>
  <c r="A357" i="1"/>
  <c r="B356" i="1"/>
  <c r="A356" i="1"/>
  <c r="B355" i="1"/>
  <c r="A355" i="1"/>
  <c r="B354" i="1"/>
  <c r="A354" i="1"/>
  <c r="B353" i="1"/>
  <c r="A353" i="1"/>
  <c r="B352" i="1"/>
  <c r="A352" i="1"/>
  <c r="B351" i="1"/>
  <c r="A351" i="1"/>
  <c r="B350" i="1"/>
  <c r="A350" i="1"/>
  <c r="B349" i="1"/>
  <c r="A349" i="1"/>
  <c r="B348" i="1"/>
  <c r="A348" i="1"/>
  <c r="B347" i="1"/>
  <c r="A347" i="1"/>
  <c r="B346" i="1"/>
  <c r="A346" i="1"/>
  <c r="B345" i="1"/>
  <c r="A345" i="1"/>
  <c r="B344" i="1"/>
  <c r="A344" i="1"/>
  <c r="B343" i="1"/>
  <c r="A343" i="1"/>
  <c r="B342" i="1"/>
  <c r="A342" i="1"/>
  <c r="B341" i="1"/>
  <c r="A341" i="1"/>
  <c r="B340" i="1"/>
  <c r="A340" i="1"/>
  <c r="B339" i="1"/>
  <c r="A339" i="1"/>
  <c r="B338" i="1"/>
  <c r="A338" i="1"/>
  <c r="B337" i="1"/>
  <c r="A337" i="1"/>
  <c r="B336" i="1"/>
  <c r="A336" i="1"/>
  <c r="B335" i="1"/>
  <c r="A335" i="1"/>
  <c r="B334" i="1"/>
  <c r="A334" i="1"/>
  <c r="B333" i="1"/>
  <c r="A333" i="1"/>
  <c r="B332" i="1"/>
  <c r="A332" i="1"/>
  <c r="B331" i="1"/>
  <c r="A331" i="1"/>
  <c r="B330" i="1"/>
  <c r="A330" i="1"/>
  <c r="B329" i="1"/>
  <c r="A329" i="1"/>
  <c r="B328" i="1"/>
  <c r="A328" i="1"/>
  <c r="B327" i="1"/>
  <c r="A327" i="1"/>
  <c r="B326" i="1"/>
  <c r="A326" i="1"/>
  <c r="B325" i="1"/>
  <c r="A325" i="1"/>
  <c r="B324" i="1"/>
  <c r="A324" i="1"/>
  <c r="B323" i="1"/>
  <c r="A323" i="1"/>
  <c r="B322" i="1"/>
  <c r="A322" i="1"/>
  <c r="B321" i="1"/>
  <c r="A321" i="1"/>
  <c r="B320" i="1"/>
  <c r="A320" i="1"/>
  <c r="B319" i="1"/>
  <c r="A319" i="1"/>
  <c r="B318" i="1"/>
  <c r="A318" i="1"/>
  <c r="B317" i="1"/>
  <c r="A317" i="1"/>
  <c r="B316" i="1"/>
  <c r="A316" i="1"/>
  <c r="B315" i="1"/>
  <c r="A315" i="1"/>
  <c r="B314" i="1"/>
  <c r="A314" i="1"/>
  <c r="B313" i="1"/>
  <c r="A313" i="1"/>
  <c r="B312" i="1"/>
  <c r="A312" i="1"/>
  <c r="B311" i="1"/>
  <c r="A311" i="1"/>
  <c r="B310" i="1"/>
  <c r="A310" i="1"/>
  <c r="B309" i="1"/>
  <c r="A309" i="1"/>
  <c r="B308" i="1"/>
  <c r="A308" i="1"/>
  <c r="B307" i="1"/>
  <c r="A307" i="1"/>
  <c r="B306" i="1"/>
  <c r="A306" i="1"/>
  <c r="B305" i="1"/>
  <c r="A305" i="1"/>
  <c r="B304" i="1"/>
  <c r="A304" i="1"/>
  <c r="B303" i="1"/>
  <c r="A303" i="1"/>
  <c r="B302" i="1"/>
  <c r="A302" i="1"/>
  <c r="B301" i="1"/>
  <c r="A301" i="1"/>
  <c r="B300" i="1"/>
  <c r="A300" i="1"/>
  <c r="B299" i="1"/>
  <c r="A299" i="1"/>
  <c r="B298" i="1"/>
  <c r="A298" i="1"/>
  <c r="B297" i="1"/>
  <c r="A297" i="1"/>
  <c r="B296" i="1"/>
  <c r="A296" i="1"/>
  <c r="B295" i="1"/>
  <c r="A295" i="1"/>
  <c r="B294" i="1"/>
  <c r="A294" i="1"/>
  <c r="B293" i="1"/>
  <c r="A293" i="1"/>
  <c r="B292" i="1"/>
  <c r="A292" i="1"/>
  <c r="B291" i="1"/>
  <c r="A291" i="1"/>
  <c r="B290" i="1"/>
  <c r="A290" i="1"/>
  <c r="B289" i="1"/>
  <c r="A289" i="1"/>
  <c r="B288" i="1"/>
  <c r="A288" i="1"/>
  <c r="B287" i="1"/>
  <c r="A287" i="1"/>
  <c r="B286" i="1"/>
  <c r="A286" i="1"/>
  <c r="B285" i="1"/>
  <c r="A285" i="1"/>
  <c r="B284" i="1"/>
  <c r="A284" i="1"/>
  <c r="B283" i="1"/>
  <c r="A283" i="1"/>
  <c r="B282" i="1"/>
  <c r="A282" i="1"/>
  <c r="B281" i="1"/>
  <c r="A281" i="1"/>
  <c r="B280" i="1"/>
  <c r="A280" i="1"/>
  <c r="B279" i="1"/>
  <c r="A279" i="1"/>
  <c r="B278" i="1"/>
  <c r="A278" i="1"/>
  <c r="B277" i="1"/>
  <c r="A277" i="1"/>
  <c r="B276" i="1"/>
  <c r="A276" i="1"/>
  <c r="B275" i="1"/>
  <c r="A275" i="1"/>
  <c r="B274" i="1"/>
  <c r="A274" i="1"/>
  <c r="B273" i="1"/>
  <c r="A273" i="1"/>
  <c r="B272" i="1"/>
  <c r="A272" i="1"/>
  <c r="B271" i="1"/>
  <c r="A271" i="1"/>
  <c r="B270" i="1"/>
  <c r="A270" i="1"/>
  <c r="B269" i="1"/>
  <c r="A269" i="1"/>
  <c r="B268" i="1"/>
  <c r="A268" i="1"/>
  <c r="B267" i="1"/>
  <c r="A267" i="1"/>
  <c r="B266" i="1"/>
  <c r="A266" i="1"/>
  <c r="B265" i="1"/>
  <c r="A265" i="1"/>
  <c r="B264" i="1"/>
  <c r="A264" i="1"/>
  <c r="B263" i="1"/>
  <c r="A263" i="1"/>
  <c r="B262" i="1"/>
  <c r="A262" i="1"/>
  <c r="B261" i="1"/>
  <c r="A261" i="1"/>
  <c r="B260" i="1"/>
  <c r="A260" i="1"/>
  <c r="B259" i="1"/>
  <c r="A259" i="1"/>
  <c r="B254" i="1"/>
  <c r="A254" i="1"/>
  <c r="B253" i="1"/>
  <c r="A253" i="1"/>
  <c r="B252" i="1"/>
  <c r="A252" i="1"/>
  <c r="B251" i="1"/>
  <c r="A251" i="1"/>
  <c r="B250" i="1"/>
  <c r="A250" i="1"/>
  <c r="B249" i="1"/>
  <c r="A249" i="1"/>
  <c r="B248" i="1"/>
  <c r="A248" i="1"/>
  <c r="B247" i="1"/>
  <c r="A247" i="1"/>
  <c r="B246" i="1"/>
  <c r="A246" i="1"/>
  <c r="B245" i="1"/>
  <c r="A245" i="1"/>
  <c r="B244" i="1"/>
  <c r="A244" i="1"/>
  <c r="B243" i="1"/>
  <c r="A243" i="1"/>
  <c r="B242" i="1"/>
  <c r="A242" i="1"/>
  <c r="B241" i="1"/>
  <c r="A241" i="1"/>
  <c r="B240" i="1"/>
  <c r="A240" i="1"/>
  <c r="B239" i="1"/>
  <c r="A239" i="1"/>
  <c r="B238" i="1"/>
  <c r="A238" i="1"/>
  <c r="B237" i="1"/>
  <c r="A237" i="1"/>
  <c r="B236" i="1"/>
  <c r="A236" i="1"/>
  <c r="B235" i="1"/>
  <c r="A235" i="1"/>
  <c r="B234" i="1"/>
  <c r="A234" i="1"/>
  <c r="B233" i="1"/>
  <c r="A233" i="1"/>
  <c r="B232" i="1"/>
  <c r="A232" i="1"/>
  <c r="B231" i="1"/>
  <c r="A231" i="1"/>
  <c r="B230" i="1"/>
  <c r="A230" i="1"/>
  <c r="B229" i="1"/>
  <c r="A229" i="1"/>
  <c r="B228" i="1"/>
  <c r="A228" i="1"/>
  <c r="B227" i="1"/>
  <c r="A227" i="1"/>
  <c r="B226" i="1"/>
  <c r="A226" i="1"/>
  <c r="B225" i="1"/>
  <c r="A225" i="1"/>
  <c r="B223" i="1"/>
  <c r="A223" i="1"/>
  <c r="B222" i="1"/>
  <c r="A222" i="1"/>
  <c r="B221" i="1"/>
  <c r="A221" i="1"/>
  <c r="B220" i="1"/>
  <c r="A220" i="1"/>
  <c r="B219" i="1"/>
  <c r="A219" i="1"/>
  <c r="B218" i="1"/>
  <c r="A218" i="1"/>
  <c r="B217" i="1"/>
  <c r="A217" i="1"/>
  <c r="B216" i="1"/>
  <c r="A216" i="1"/>
  <c r="B215" i="1"/>
  <c r="A215" i="1"/>
  <c r="B214" i="1"/>
  <c r="A214" i="1"/>
  <c r="B213" i="1"/>
  <c r="A213" i="1"/>
  <c r="B212" i="1"/>
  <c r="A212" i="1"/>
  <c r="B211" i="1"/>
  <c r="A211" i="1"/>
  <c r="B210" i="1"/>
  <c r="A210" i="1"/>
  <c r="B209" i="1"/>
  <c r="A209" i="1"/>
  <c r="B208" i="1"/>
  <c r="A208" i="1"/>
  <c r="B207" i="1"/>
  <c r="A207" i="1"/>
  <c r="B206" i="1"/>
  <c r="A206" i="1"/>
  <c r="B205" i="1"/>
  <c r="A205" i="1"/>
  <c r="B204" i="1"/>
  <c r="A204" i="1"/>
  <c r="B203" i="1"/>
  <c r="A203" i="1"/>
  <c r="B202" i="1"/>
  <c r="A202" i="1"/>
  <c r="B201" i="1"/>
  <c r="A201" i="1"/>
  <c r="B200" i="1"/>
  <c r="A200" i="1"/>
  <c r="B199" i="1"/>
  <c r="A199" i="1"/>
  <c r="B198" i="1"/>
  <c r="A198" i="1"/>
  <c r="B197" i="1"/>
  <c r="A197" i="1"/>
  <c r="B196" i="1"/>
  <c r="A196" i="1"/>
  <c r="B195" i="1"/>
  <c r="A195" i="1"/>
  <c r="B194" i="1"/>
  <c r="A194" i="1"/>
  <c r="B193" i="1"/>
  <c r="A193" i="1"/>
  <c r="B192" i="1"/>
  <c r="A192" i="1"/>
  <c r="B191" i="1"/>
  <c r="A191" i="1"/>
  <c r="B190" i="1"/>
  <c r="A190" i="1"/>
  <c r="B189" i="1"/>
  <c r="A189" i="1"/>
  <c r="B188" i="1"/>
  <c r="A188" i="1"/>
  <c r="B187" i="1"/>
  <c r="A187" i="1"/>
  <c r="B186" i="1"/>
  <c r="A186" i="1"/>
  <c r="B185" i="1"/>
  <c r="A185" i="1"/>
  <c r="B184" i="1"/>
  <c r="A184" i="1"/>
  <c r="B183" i="1"/>
  <c r="A183" i="1"/>
  <c r="B182" i="1"/>
  <c r="A182" i="1"/>
  <c r="B181" i="1"/>
  <c r="A181" i="1"/>
  <c r="B180" i="1"/>
  <c r="A180" i="1"/>
  <c r="B179" i="1"/>
  <c r="A179" i="1"/>
  <c r="B178" i="1"/>
  <c r="A178" i="1"/>
  <c r="B177" i="1"/>
  <c r="A177" i="1"/>
  <c r="B176" i="1"/>
  <c r="A176" i="1"/>
  <c r="B175" i="1"/>
  <c r="A175" i="1"/>
  <c r="B174" i="1"/>
  <c r="A174" i="1"/>
  <c r="B173" i="1"/>
  <c r="A173" i="1"/>
  <c r="B171" i="1"/>
  <c r="A171" i="1"/>
  <c r="B170" i="1"/>
  <c r="A170" i="1"/>
  <c r="B169" i="1"/>
  <c r="A169" i="1"/>
  <c r="B168" i="1"/>
  <c r="A168" i="1"/>
  <c r="B167" i="1"/>
  <c r="A167" i="1"/>
  <c r="B166" i="1"/>
  <c r="A166" i="1"/>
  <c r="B165" i="1"/>
  <c r="A165" i="1"/>
  <c r="B164" i="1"/>
  <c r="A164" i="1"/>
  <c r="B163" i="1"/>
  <c r="A163" i="1"/>
  <c r="B162" i="1"/>
  <c r="A162" i="1"/>
  <c r="B161" i="1"/>
  <c r="A161" i="1"/>
  <c r="B160" i="1"/>
  <c r="A160" i="1"/>
  <c r="B159" i="1"/>
  <c r="A159" i="1"/>
  <c r="B158" i="1"/>
  <c r="A158" i="1"/>
  <c r="B157" i="1"/>
  <c r="A157" i="1"/>
  <c r="B156" i="1"/>
  <c r="A156" i="1"/>
  <c r="B155" i="1"/>
  <c r="A155" i="1"/>
  <c r="B154" i="1"/>
  <c r="A154" i="1"/>
  <c r="B153" i="1"/>
  <c r="A153" i="1"/>
  <c r="B152" i="1"/>
  <c r="A152" i="1"/>
  <c r="B151" i="1"/>
  <c r="A151" i="1"/>
  <c r="B150" i="1"/>
  <c r="A150" i="1"/>
  <c r="B149" i="1"/>
  <c r="A149" i="1"/>
  <c r="B148" i="1"/>
  <c r="A148" i="1"/>
  <c r="B147" i="1"/>
  <c r="A147" i="1"/>
  <c r="B146" i="1"/>
  <c r="A146" i="1"/>
  <c r="B145" i="1"/>
  <c r="A145" i="1"/>
  <c r="B144" i="1"/>
  <c r="A144" i="1"/>
  <c r="B143" i="1"/>
  <c r="A143" i="1"/>
  <c r="B142" i="1"/>
  <c r="A142" i="1"/>
  <c r="B141" i="1"/>
  <c r="A141" i="1"/>
  <c r="B139" i="1"/>
  <c r="A139" i="1"/>
  <c r="B138" i="1"/>
  <c r="A138" i="1"/>
  <c r="B137" i="1"/>
  <c r="A137" i="1"/>
  <c r="B136" i="1"/>
  <c r="A136" i="1"/>
  <c r="B135" i="1"/>
  <c r="A135" i="1"/>
  <c r="B134" i="1"/>
  <c r="A134" i="1"/>
  <c r="B133" i="1"/>
  <c r="A133" i="1"/>
  <c r="B132" i="1"/>
  <c r="A132" i="1"/>
  <c r="B131" i="1"/>
  <c r="A131" i="1"/>
  <c r="B130" i="1"/>
  <c r="A130" i="1"/>
  <c r="B129" i="1"/>
  <c r="A129" i="1"/>
  <c r="B128" i="1"/>
  <c r="A128" i="1"/>
  <c r="B127" i="1"/>
  <c r="A127" i="1"/>
  <c r="B126" i="1"/>
  <c r="A126" i="1"/>
  <c r="B125" i="1"/>
  <c r="A125" i="1"/>
  <c r="B124" i="1"/>
  <c r="A124" i="1"/>
  <c r="B123" i="1"/>
  <c r="A123" i="1"/>
  <c r="B122" i="1"/>
  <c r="A122" i="1"/>
  <c r="B121" i="1"/>
  <c r="A121" i="1"/>
  <c r="B120" i="1"/>
  <c r="A120" i="1"/>
  <c r="B119" i="1"/>
  <c r="A119" i="1"/>
  <c r="B118" i="1"/>
  <c r="A118" i="1"/>
  <c r="B117" i="1"/>
  <c r="A117" i="1"/>
  <c r="B116" i="1"/>
  <c r="A116" i="1"/>
  <c r="B115" i="1"/>
  <c r="A115" i="1"/>
  <c r="B114" i="1"/>
  <c r="A114" i="1"/>
  <c r="B113" i="1"/>
  <c r="A113" i="1"/>
  <c r="B112" i="1"/>
  <c r="A112" i="1"/>
  <c r="B111" i="1"/>
  <c r="A111" i="1"/>
  <c r="B110" i="1"/>
  <c r="A110" i="1"/>
  <c r="B109" i="1"/>
  <c r="A109" i="1"/>
  <c r="B108" i="1"/>
  <c r="A108" i="1"/>
  <c r="B107" i="1"/>
  <c r="A107" i="1"/>
  <c r="B106" i="1"/>
  <c r="A106" i="1"/>
  <c r="B105" i="1"/>
  <c r="A105" i="1"/>
  <c r="B104" i="1"/>
  <c r="A104" i="1"/>
  <c r="B103" i="1"/>
  <c r="A103" i="1"/>
  <c r="B102" i="1"/>
  <c r="A102" i="1"/>
  <c r="B101" i="1"/>
  <c r="A101" i="1"/>
  <c r="B100" i="1"/>
  <c r="A100" i="1"/>
  <c r="B99" i="1"/>
  <c r="A99" i="1"/>
  <c r="B98" i="1"/>
  <c r="A98" i="1"/>
  <c r="B97" i="1"/>
  <c r="A97" i="1"/>
  <c r="B96" i="1"/>
  <c r="A96" i="1"/>
  <c r="B95" i="1"/>
  <c r="A95" i="1"/>
  <c r="B94" i="1"/>
  <c r="A94" i="1"/>
  <c r="B93" i="1"/>
  <c r="A93" i="1"/>
  <c r="B92" i="1"/>
  <c r="A92" i="1"/>
  <c r="B91" i="1"/>
  <c r="A91" i="1"/>
  <c r="B90" i="1"/>
  <c r="A90" i="1"/>
  <c r="B89" i="1"/>
  <c r="A89" i="1"/>
  <c r="B88" i="1"/>
  <c r="A88" i="1"/>
  <c r="B87" i="1"/>
  <c r="A87" i="1"/>
  <c r="B86" i="1"/>
  <c r="A86" i="1"/>
  <c r="B85" i="1"/>
  <c r="A85" i="1"/>
  <c r="B84" i="1"/>
  <c r="A84" i="1"/>
  <c r="B83" i="1"/>
  <c r="A83" i="1"/>
  <c r="B82" i="1"/>
  <c r="A82" i="1"/>
  <c r="B81" i="1"/>
  <c r="A81" i="1"/>
  <c r="B80" i="1"/>
  <c r="A80" i="1"/>
  <c r="B79" i="1"/>
  <c r="A79" i="1"/>
  <c r="B78" i="1"/>
  <c r="A78" i="1"/>
  <c r="B77" i="1"/>
  <c r="A77" i="1"/>
  <c r="B76" i="1"/>
  <c r="A76" i="1"/>
  <c r="B75" i="1"/>
  <c r="A75" i="1"/>
  <c r="B74" i="1"/>
  <c r="A74" i="1"/>
  <c r="B73" i="1"/>
  <c r="A73" i="1"/>
  <c r="B72" i="1"/>
  <c r="A72" i="1"/>
  <c r="B71" i="1"/>
  <c r="A71" i="1"/>
  <c r="B70" i="1"/>
  <c r="A70" i="1"/>
  <c r="B69" i="1"/>
  <c r="A69" i="1"/>
  <c r="B68" i="1"/>
  <c r="A68" i="1"/>
  <c r="B67" i="1"/>
  <c r="A67" i="1"/>
  <c r="B66" i="1"/>
  <c r="A66" i="1"/>
  <c r="B65" i="1"/>
  <c r="A65" i="1"/>
  <c r="B64" i="1"/>
  <c r="A64" i="1"/>
  <c r="B63" i="1"/>
  <c r="A63" i="1"/>
  <c r="B62" i="1"/>
  <c r="A62" i="1"/>
  <c r="B61" i="1"/>
  <c r="A61" i="1"/>
  <c r="B60" i="1"/>
  <c r="A60" i="1"/>
  <c r="B59" i="1"/>
  <c r="A59" i="1"/>
  <c r="B58" i="1"/>
  <c r="A58" i="1"/>
  <c r="B57" i="1"/>
  <c r="A57" i="1"/>
  <c r="B56" i="1"/>
  <c r="A56" i="1"/>
  <c r="B55" i="1"/>
  <c r="A55" i="1"/>
  <c r="B54" i="1"/>
  <c r="A54" i="1"/>
  <c r="B53" i="1"/>
  <c r="A53" i="1"/>
  <c r="B52" i="1"/>
  <c r="A52" i="1"/>
  <c r="B51" i="1"/>
  <c r="A51" i="1"/>
  <c r="B50" i="1"/>
  <c r="A50" i="1"/>
  <c r="B49" i="1"/>
  <c r="A49" i="1"/>
  <c r="B48" i="1"/>
  <c r="A48" i="1"/>
  <c r="B47" i="1"/>
  <c r="A47" i="1"/>
  <c r="B46" i="1"/>
  <c r="A46" i="1"/>
  <c r="B45" i="1"/>
  <c r="A45" i="1"/>
  <c r="B44" i="1"/>
  <c r="A44" i="1"/>
  <c r="B43" i="1"/>
  <c r="A43" i="1"/>
  <c r="B42" i="1"/>
  <c r="A42" i="1"/>
  <c r="B41" i="1"/>
  <c r="A41" i="1"/>
  <c r="B40" i="1"/>
  <c r="A40" i="1"/>
  <c r="B39" i="1"/>
  <c r="A39" i="1"/>
  <c r="B38" i="1"/>
  <c r="A38" i="1"/>
  <c r="B37" i="1"/>
  <c r="A37" i="1"/>
  <c r="B36" i="1"/>
  <c r="A36" i="1"/>
  <c r="B35" i="1"/>
  <c r="A35" i="1"/>
  <c r="B34" i="1"/>
  <c r="A34" i="1"/>
  <c r="B33" i="1"/>
  <c r="A33" i="1"/>
  <c r="B32" i="1"/>
  <c r="A32" i="1"/>
  <c r="B31" i="1"/>
  <c r="A31" i="1"/>
  <c r="B30" i="1"/>
  <c r="A30" i="1"/>
  <c r="B29" i="1"/>
  <c r="A29" i="1"/>
  <c r="B28" i="1"/>
  <c r="A28" i="1"/>
  <c r="B27" i="1"/>
  <c r="A27" i="1"/>
  <c r="B26" i="1"/>
  <c r="A26" i="1"/>
  <c r="B25" i="1"/>
  <c r="A25" i="1"/>
  <c r="B24" i="1"/>
  <c r="A24" i="1"/>
  <c r="B23" i="1"/>
  <c r="A23" i="1"/>
  <c r="B22" i="1"/>
  <c r="A22" i="1"/>
  <c r="B21" i="1"/>
  <c r="A21" i="1"/>
  <c r="B20" i="1"/>
  <c r="A20" i="1"/>
  <c r="B19" i="1"/>
  <c r="A19" i="1"/>
</calcChain>
</file>

<file path=xl/sharedStrings.xml><?xml version="1.0" encoding="utf-8"?>
<sst xmlns="http://schemas.openxmlformats.org/spreadsheetml/2006/main" count="3028" uniqueCount="3027">
  <si>
    <t>TAG Acalypha Bronze Pink Coperleaf Plant 50/50 Petite Portrait DO FUL</t>
  </si>
  <si>
    <t>TAG Acalypha Firetail 50/50 Petite Portrait DO FUL</t>
  </si>
  <si>
    <t>TAG Achillea King Edward 50/50 Petite Portrait DO FUL</t>
  </si>
  <si>
    <t>TAG Achillea Moonshine 50/50 Petite Portrait DO FUL</t>
  </si>
  <si>
    <t>TAG Achillea New Vintage Red 50/50 Petite Portrait DO FUL</t>
  </si>
  <si>
    <t>TAG Achillea New Vintage Violet 50/50 Petite Portrait DO FUL</t>
  </si>
  <si>
    <t>TAG Achillea Paprika 50/50 Petite Portrait DO FUL</t>
  </si>
  <si>
    <t>TAG Achillea Skysail Bright Pink 100/100 Pixie Tag DO FUL</t>
  </si>
  <si>
    <t>TAG Achillea Skysail Fire 100/100 Pixie Tag DO FUL</t>
  </si>
  <si>
    <t>TAG Achillea Skysail Yellow 100/100 Pixie Tag DO FUL</t>
  </si>
  <si>
    <t>TAG Achillea Terracotta 100/100 Pixie Tag DO FUL</t>
  </si>
  <si>
    <t>TAG Achillea Terracotta 50/50 Petite Portrait DO FUL</t>
  </si>
  <si>
    <t>TAG Adromi Cooperi 100/100 Pixie Tag DO FUL</t>
  </si>
  <si>
    <t>TAG Adromi Cristatus 100/100 Pixie Tag DO FUL</t>
  </si>
  <si>
    <t>TAG Adromi Maculatus 100/100 Pixie Tag DO FUL</t>
  </si>
  <si>
    <t>TAG Aeonium Atropurpureum 100/100 Pixie Tag DO FUL</t>
  </si>
  <si>
    <t>TAG Aeonium Kiwi CN2004 100/100 Pixie Tag DO FUL</t>
  </si>
  <si>
    <t>TAG Aeonium Nigrum 100/100 Pixie Tag DO FUL</t>
  </si>
  <si>
    <t>TAG Aeonium Stripe 100/100 Pixie Tag DO FUL</t>
  </si>
  <si>
    <t>TAG Agastache Beelicious Purple 100/100 Pixie Tag DO FUL</t>
  </si>
  <si>
    <t>TAG Agastache Betterbuzz Amarillo 100/100 Pixie Tag DO FUL</t>
  </si>
  <si>
    <t>TAG Agastache Betterbuzz Amber 100/100 Pixie Tag DO FUL</t>
  </si>
  <si>
    <t>TAG Agastache Betterbuzz Pink 100/100 Pixie Tag DO FUL</t>
  </si>
  <si>
    <t>TAG Agastache Betterbuzz Red 100/100 Pixie Tag DO FUL</t>
  </si>
  <si>
    <t>TAG Agastache Betterbuzz Violeta 100/100 Pixie Tag DO FUL</t>
  </si>
  <si>
    <t>TAG Agastache Black Adder 100/100 Pixie Tag DO FUL</t>
  </si>
  <si>
    <t>TAG Agastache Black Adder 50/50 Petite Portrait DO FUL</t>
  </si>
  <si>
    <t>TAG Agastache Blue Fortune 100/100 Pixie Tag DO FUL</t>
  </si>
  <si>
    <t>TAG Agastache Blue Fortune 50/50 Petite Portrait DO FUL</t>
  </si>
  <si>
    <t>TAG Agastache Honeysticks Ember 100/100 Pixie Tag DO FUL</t>
  </si>
  <si>
    <t>TAG Agastache Honeysticks Purple 100/100 Pixie Tag DO FUL</t>
  </si>
  <si>
    <t>TAG Agastache Honeysticks Sandstone 100/100 Pixie Tag DO FUL</t>
  </si>
  <si>
    <t>TAG Agastache Kudos Red Dwarf 50/50 Petite Portrait DO FUL</t>
  </si>
  <si>
    <t>TAG Agastache Morello Hummingbird Mint 50/50 Petite Portrait DO FUL</t>
  </si>
  <si>
    <t>TAG Agastache Poquito Butter Yellow 50/50 Petite Portrait DO FUL</t>
  </si>
  <si>
    <t>TAG Agastache Poquito Dark Blue 50/50 Petite Portrait DO FUL</t>
  </si>
  <si>
    <t>TAG Agastache Poquito Lavender 50/50 Petite Portrait DO FUL</t>
  </si>
  <si>
    <t>TAG Agastache Poquito Orange 50/50 Petite Portrait DO FUL</t>
  </si>
  <si>
    <t>TAG Ajuga Black Scallop 100/100 Pixie Tag DO FUL</t>
  </si>
  <si>
    <t>TAG Ajuga Black Scallop CR4157 50/50 Petite Portrait DO FUL</t>
  </si>
  <si>
    <t>TAG Ajuga Bronze Beauty CN5006 100/100 Pixie Tag DO FUL</t>
  </si>
  <si>
    <t>TAG Ajuga Burgundy Glow CN5007 100/100 Pixie Tag DO FUL</t>
  </si>
  <si>
    <t>TAG Ajuga Catlin's Giant 100/100 Pixie Tag DO FUL</t>
  </si>
  <si>
    <t>TAG Ajuga Chocolate Chip 100/100 Pixie Tag DO FUL</t>
  </si>
  <si>
    <t>TAG Ajuga Chocolate Chip 50/50 Petite Portrait DO FUL</t>
  </si>
  <si>
    <t>TAG Ajuga Golden Glow 100/100 Pixie Tag DO FUL</t>
  </si>
  <si>
    <t>TAG Ajuga Mahogany 100/100 Pixie Tag DO FUL</t>
  </si>
  <si>
    <t>TAG Ajuga Mahogany 50/50 Petite Portrait DO FUL</t>
  </si>
  <si>
    <t>TAG Ajuga Princess Elsa 100/100 Pixie Tag DO FUL</t>
  </si>
  <si>
    <t>TAG Ajuga Princess Leia 100/100 Pixie Tag DO FUL</t>
  </si>
  <si>
    <t>TAG Ajuga Princess Nadia 100/100 Pixie Tag DO FUL</t>
  </si>
  <si>
    <t>TAG Ajuga Rosea 100/100 Pixie Tag DO FUL</t>
  </si>
  <si>
    <t>TAG Aloe Arborescens 100/100 Pixie Tag DO FUL</t>
  </si>
  <si>
    <t>TAG Aloe Aristata 100/100 Pixie Tag DO FUL</t>
  </si>
  <si>
    <t>TAG Aloe Vera 100/100 Pixie Tag DO FUL</t>
  </si>
  <si>
    <t>TAG Aloysia Lemon Verbena 100/100 Pixie Tag DO FUL</t>
  </si>
  <si>
    <t>TAG Aloysia Lemon Verbena 50/50 Petite Portrait DO FUL</t>
  </si>
  <si>
    <t>TAG Alstroemeria Bryce 50/50 Petite Portrait DO FUL</t>
  </si>
  <si>
    <t>TAG Alstroemeria Dark Purple 50/50 Petite Portrait DO FUL</t>
  </si>
  <si>
    <t>TAG Alstroemeria Doba 50/50 Petite Portrait DO FUL</t>
  </si>
  <si>
    <t>TAG Alstroemeria Hope 50/50 Petite Portrait DO FUL</t>
  </si>
  <si>
    <t>TAG Alstroemeria Indigo 50/50 Petite Portrait DO FUL</t>
  </si>
  <si>
    <t>TAG Alstroemeria Kanika 50/50 Petite Portrait DO FUL</t>
  </si>
  <si>
    <t>TAG Alstroemeria Machu 50/50 Petite Portrait DO FUL</t>
  </si>
  <si>
    <t>TAG Alstroemeria Magic White 50/50 Petite Portrait DO FUL</t>
  </si>
  <si>
    <t>TAG Alstroemeria Maya 50/50 Petite Portrait DO FUL</t>
  </si>
  <si>
    <t>TAG Alstroemeria Moon 50/50 Petite Portrait DO FUL</t>
  </si>
  <si>
    <t>TAG Alstroemeria Passion 50/50 Petite Portrait DO FUL</t>
  </si>
  <si>
    <t>TAG Alstroemeria Red 50/50 Petite Portrait DO FUL</t>
  </si>
  <si>
    <t>TAG Alstroemeria Summer Paradise Bree 50/50 Petite Portrait DO FUL</t>
  </si>
  <si>
    <t>TAG Alstroemeria Summer Paradise Dancer 50/50 Petite Portrait DO FUL</t>
  </si>
  <si>
    <t>TAG Alstroemeria Summer Paradise Holiday 50/50 Petite Portrait DO FUL</t>
  </si>
  <si>
    <t>TAG Alstroemeria Summer Paradise Indian Summer 50/50 Petite Portrait DO FUL</t>
  </si>
  <si>
    <t>TAG Alstroemeria Summer Paradise Red 50/50 Petite Portrait DO FUL</t>
  </si>
  <si>
    <t>TAG Alstroemeria Summer Paradise Reli 50/50 Petite Portrait DO FUL</t>
  </si>
  <si>
    <t>TAG Alstroemeria Summer Paradise Saint 50/50 Petite Portrait DO FUL</t>
  </si>
  <si>
    <t>TAG Alstroemeria Summer Paradise Sky 50/50 Petite Portrait DO FUL</t>
  </si>
  <si>
    <t>TAG Alstroemeria Summer Paradise Snow 50/50 Petite Portrait DO FUL</t>
  </si>
  <si>
    <t>TAG Alstroemeria Summer Paradise Valley 50/50 Petite Portrait DO FUL</t>
  </si>
  <si>
    <t>TAG Alstroemeria Summer Paradise Valley Girl 50/50 Petite Portrait DO FUL</t>
  </si>
  <si>
    <t>TAG Alstroemeria Sunset 50/50 Petite Portrait DO FUL</t>
  </si>
  <si>
    <t>TAG Alstroemeria Sunshine 50/50 Petite Portrait DO FUL</t>
  </si>
  <si>
    <t>TAG Alstroemeria Time Valley 50/50 Petite Portrait DO FUL</t>
  </si>
  <si>
    <t>TAG Alstroemeria Valentino 50/50 Petite Portrait DO FUL</t>
  </si>
  <si>
    <t>TAG Alstroemeria White Pink Blush 50/50 Petite Portrait DO FUL</t>
  </si>
  <si>
    <t>TAG Alternanthera Brazilian Red Hots 50/50 Petite Portrait DO FUL</t>
  </si>
  <si>
    <t>TAG Alternanthera Little Ruby 50/50 Petite Portrait DO FUL</t>
  </si>
  <si>
    <t>TAG Alternanthera PartyTime 50/50 Petite Portrait DO FUL</t>
  </si>
  <si>
    <t>TAG Alternanthera Red Carpet 50/50 Petite Portrait DO FUL</t>
  </si>
  <si>
    <t>TAG Alternanthera True Yellow 50/50 Petite Portrait DO FUL</t>
  </si>
  <si>
    <t>TAG Alyssum Golden Spring 50/50 Petite Portrait DO FUL</t>
  </si>
  <si>
    <t>TAG Angelonia Aria Alta Pink 50/50 Petite Portrait DO FUL</t>
  </si>
  <si>
    <t>TAG Angelonia Aria Alta Purple 50/50 Petite Portrait DO FUL</t>
  </si>
  <si>
    <t>TAG Angelonia Aria Alta Red Raspberry 50/50 Petite Portrait DO FUL</t>
  </si>
  <si>
    <t>TAG Angelonia Aria Blue 50/50 Petite Portrait DO FUL</t>
  </si>
  <si>
    <t>TAG Angelonia Aria Pink Bicolor 50/50 Petite Portrait DO FUL</t>
  </si>
  <si>
    <t>TAG Angelonia Aria Purple 50/50 Petite Portrait DO FUL</t>
  </si>
  <si>
    <t>TAG Angelonia Aria Soft Pink 50/50 Petite Portrait DO FUL</t>
  </si>
  <si>
    <t>TAG Angelonia Aria White 50/50 Petite Portrait DO FUL</t>
  </si>
  <si>
    <t>TAG Arctotis The Ravers Bumble Bee 50/50 Petite Portrait DO FUL</t>
  </si>
  <si>
    <t>TAG Argyranthemum Beauty Yellow 50/50 Petite Portrait DO FUL</t>
  </si>
  <si>
    <t>TAG Argyranthemum Butterfly 50/50 Petite Portrait DO FUL</t>
  </si>
  <si>
    <t>TAG Argyranthemum Comet Pink 50/50 Petite Portrait DO FUL</t>
  </si>
  <si>
    <t>TAG Argyranthemum Comet Pink Shades 50/50 Petite Portrait DO FUL</t>
  </si>
  <si>
    <t>TAG Argyranthemum Comet Red 50/50 Petite Portrait DO FUL</t>
  </si>
  <si>
    <t>TAG Argyranthemum Comet White 50/50 Petite Portrait DO FUL</t>
  </si>
  <si>
    <t>TAG Argyranthemum Comet Yellow 50/50 Petite Portrait DO FUL</t>
  </si>
  <si>
    <t>TAG Artemisia FanciFillers Sea Salt 50/50 Petite Portrait DO FUL</t>
  </si>
  <si>
    <t>TAG Artemisia French Tarragon 100/100 Pixie Tag DO FUL</t>
  </si>
  <si>
    <t>TAG Artemisia French Tarragon 50/50 Petite Portrait DO FUL</t>
  </si>
  <si>
    <t>TAG Artemisia Parfum D' Ethiopia 50/50 Petite Portrait DO FUL</t>
  </si>
  <si>
    <t>TAG Artemisia Powis Castle 50/50 Petite Portrait DO FUL</t>
  </si>
  <si>
    <t>TAG Artemisia Silver Brocade 100/100 Pixie Tag DO FUL</t>
  </si>
  <si>
    <t>TAG Artemisia Silver Brocade 50/50 Petite Portrait DO FUL</t>
  </si>
  <si>
    <t>TAG Artemisia Silver Mound 50/50 Petite Portrait DO FUL</t>
  </si>
  <si>
    <t>TAG Artemisia Silver Mound CN5015 100/100 Pixie Tag DO FUL</t>
  </si>
  <si>
    <t>TAG Aster Island Barbados 100/100 Pixie Tag DO FUL</t>
  </si>
  <si>
    <t>TAG Aster Island Samoa 100/100 Pixie Tag DO FUL</t>
  </si>
  <si>
    <t>TAG Aster Island Tonga 100/100 Pixie Tag DO FUL</t>
  </si>
  <si>
    <t>TAG Aubrieta Rock Cress GENERIC 25/25 Portrait Tag DO</t>
  </si>
  <si>
    <t>TAG Aubrieta Rock On Blue 100/100 Pixie Tag DO FUL</t>
  </si>
  <si>
    <t>TAG Aubrieta Rock On Pink 100/100 Pixie Tag DO FUL</t>
  </si>
  <si>
    <t>TAG Aubrieta Rock On Purple 100/100 Pixie Tag DO FUL</t>
  </si>
  <si>
    <t>TAG Bacopa Atlas Blue 50/50 Petite Portrait DO FUL</t>
  </si>
  <si>
    <t>TAG Bacopa Atlas Pink 50/50 Petite Portrait DO FUL</t>
  </si>
  <si>
    <t>TAG Bacopa Atlas White 50/50 Petite Portrait DO FUL</t>
  </si>
  <si>
    <t>TAG Bacopa Bahia Blue Sand 50/50 Petite Portrait DO FUL</t>
  </si>
  <si>
    <t>TAG Bacopa Bahia Pink Halo 50/50 Petite Portrait DO FUL</t>
  </si>
  <si>
    <t>TAG Bacopa Bahia Pink Sand 50/50 Petite Portrait DO FUL</t>
  </si>
  <si>
    <t>TAG Bacopa Bahia Purple Sand 50/50 Petite Portrait DO FUL</t>
  </si>
  <si>
    <t>TAG Bacopa Bahia Sky Blue 50/50 Petite Portrait DO FUL</t>
  </si>
  <si>
    <t>TAG Bacopa Bahia White 50/50 Petite Portrait DO FUL</t>
  </si>
  <si>
    <t>TAG Bacopa Bahia White Night 50/50 Petite Portrait DO FUL</t>
  </si>
  <si>
    <t>TAG Bacopa Bahia White Sand 50/50 Petite Portrait DO FUL</t>
  </si>
  <si>
    <t>TAG Bacopa Epic Light Blue 50/50 Petite Portrait DO FUL</t>
  </si>
  <si>
    <t>TAG Bacopa Epic Pink 50/50 Petite Portrait DO FUL</t>
  </si>
  <si>
    <t>TAG Bacopa Epic Pink With Eye 50/50 Petite Portrait DO FUL</t>
  </si>
  <si>
    <t>TAG Bacopa Epic Violet 50/50 Petite Portrait DO FUL</t>
  </si>
  <si>
    <t>TAG Bacopa Epic White 50/50 Petite Portrait DO FUL</t>
  </si>
  <si>
    <t>TAG Bacopa Taifun Mega White 50/50 Petite Portrait DO FUL</t>
  </si>
  <si>
    <t>TAG Basil Pesto 100/100 Pixie Tag DO FUL</t>
  </si>
  <si>
    <t>TAG Begonia Bachelorette Trailing Red 50/50 Petite Portrait DO FUL</t>
  </si>
  <si>
    <t>TAG Begonia Baladin 50/50 Petite Portrait DO FUL</t>
  </si>
  <si>
    <t>TAG Begonia Barkos 50/50 Petite Portrait DO FUL</t>
  </si>
  <si>
    <t>TAG Begonia Batik 50/50 Petite Portrait DO FUL</t>
  </si>
  <si>
    <t>TAG Begonia Berseba Rhine 50/50 Petite Portrait DO FUL</t>
  </si>
  <si>
    <t>TAG Begonia Blitz 50/50 Petite Portrait DO FUL</t>
  </si>
  <si>
    <t>TAG Begonia Borias Rhine 50/50 Petite Portrait DO FUL</t>
  </si>
  <si>
    <t>TAG Begonia Carneval 50/50 Petite Portrait DO FUL</t>
  </si>
  <si>
    <t>TAG Begonia Clara 50/50 Petite Portrait DO FUL</t>
  </si>
  <si>
    <t>TAG Begonia Dark Britt 50/50 Petite Portrait DO FUL</t>
  </si>
  <si>
    <t>TAG Begonia Doublet Pink 100/100 Pixie Tag DO</t>
  </si>
  <si>
    <t>TAG Begonia Doublet Pink 50/50 Petite Portrait DO FUL</t>
  </si>
  <si>
    <t>TAG Begonia Doublet Red 50/50 Petite Portrait DO FUL</t>
  </si>
  <si>
    <t>TAG Begonia Doublet Rose 50/50 Petite Portrait DO FUL</t>
  </si>
  <si>
    <t>TAG Begonia Doublet White 50/50 Petite Portrait DO FUL</t>
  </si>
  <si>
    <t>TAG Begonia Dragone Champagne 50/50 Petite Portrait DO FUL</t>
  </si>
  <si>
    <t>TAG Begonia Dragone Dusty Rose 50/50 Petite Portrait DO FUL</t>
  </si>
  <si>
    <t>TAG Begonia Dragone Evening Glow 50/50 Petite Portrait DO FUL</t>
  </si>
  <si>
    <t>TAG Begonia Dragone Sunset 50/50 Petite Portrait DO FUL</t>
  </si>
  <si>
    <t>TAG Begonia I'Conia Bachelorette Red 50/50 Petite Portrait DO FUL</t>
  </si>
  <si>
    <t>TAG Begonia I'Conia Bacio Orange 50/50 Petite Portrait DO FUL</t>
  </si>
  <si>
    <t>TAG Begonia I'Conia Bacio Peach 50/50 Petite Portrait DO FUL</t>
  </si>
  <si>
    <t>TAG Begonia I'Conia Bacio Salmon 50/50 Petite Portrait DO FUL</t>
  </si>
  <si>
    <t>TAG Begonia I'Conia Bacio White 50/50 Petite Portrait DO FUL</t>
  </si>
  <si>
    <t>TAG Begonia I'Conia First Kiss 50/50 Petite Portrait DO FUL</t>
  </si>
  <si>
    <t>TAG Begonia I'Conia First Kiss Del Sol 50/50 Petite Portrait DO FUL</t>
  </si>
  <si>
    <t>TAG Begonia I'Conia First Kiss Orange 50/50 Petite Portrait DO FUL</t>
  </si>
  <si>
    <t>TAG Begonia I'Conia La Luna 50/50 Petite Portrait DO FUL</t>
  </si>
  <si>
    <t>TAG Begonia I'Conia Lemon Berry 50/50 Petite Portrait DO FUL</t>
  </si>
  <si>
    <t>TAG Begonia I'Conia Lucky Strike 50/50 Petite Portrait DO FUL</t>
  </si>
  <si>
    <t>TAG Begonia I'Conia Miss Malibu 50/50 Petite Portrait DO FUL</t>
  </si>
  <si>
    <t>TAG Begonia I'Conia Miss Miami 50/50 Petite Portrait DO FUL</t>
  </si>
  <si>
    <t>TAG Begonia I'Conia Miss Montreal 50/50 Petite Portrait DO FUL</t>
  </si>
  <si>
    <t>TAG Begonia I'Conia Peachy Keen 50/50 Petite Portrait DO FUL</t>
  </si>
  <si>
    <t>TAG Begonia I'Conia Portofino Champagne 50/50 Petite Portrait DO FUL</t>
  </si>
  <si>
    <t>TAG Begonia I'Conia Portofino Citrix 50/50 Petite Portrait DO FUL</t>
  </si>
  <si>
    <t>TAG Begonia I'Conia Portofino Dark Orange 50/50 Petite Portrait DO FUL</t>
  </si>
  <si>
    <t>TAG Begonia I'Conia Portofino Hot Coral 50/50 Petite Portrait DO FUL</t>
  </si>
  <si>
    <t>TAG Begonia I'Conia Portofino Hot Orange 50/50 Petite Portrait DO FUL</t>
  </si>
  <si>
    <t>TAG Begonia I'Conia Portofino Salmon 50/50 Petite Portrait DO FUL</t>
  </si>
  <si>
    <t>TAG Begonia I'Conia Portofino Sunrise 50/50 Petite Portrait DO FUL</t>
  </si>
  <si>
    <t>TAG Begonia I'Conia Portofino Yellow 50/50 Petite Portrait DO FUL</t>
  </si>
  <si>
    <t>TAG Begonia I'Conia Red 50/50 Petite Portrait DO FUL</t>
  </si>
  <si>
    <t>TAG Begonia I'Conia Saffron 50/50 Petite Portrait DO FUL</t>
  </si>
  <si>
    <t>TAG Begonia I'Conia Tweetie Pie 50/50 Petite Portrait DO FUL</t>
  </si>
  <si>
    <t>TAG Begonia I'Conia Upright Blush 50/50 Petite Portrait DO FUL</t>
  </si>
  <si>
    <t>TAG Begonia I'Conia Upright Fire 50/50 Petite Portrait DO FUL</t>
  </si>
  <si>
    <t>TAG Begonia I'Conia Upright Red 50/50 Petite Portrait DO FUL</t>
  </si>
  <si>
    <t>TAG Begonia I'Conia Upright Salmon 50/50 Petite Portrait DO FUL</t>
  </si>
  <si>
    <t>TAG Begonia I'Conia Upright Sunshine 50/50 Petite Portrait DO FUL</t>
  </si>
  <si>
    <t>TAG Begonia I'Conia Upright White 50/50 Petite Portrait DO FUL</t>
  </si>
  <si>
    <t>TAG Begonia Move2 Cherry Red 50/50 Petite Portrait DO FUL</t>
  </si>
  <si>
    <t>TAG Begonia Move2 Joy Hot Pink Elat 50/50 Petite Portrait DO FUL</t>
  </si>
  <si>
    <t>TAG Begonia Move2 Joy Pink 50/50 Petite Portrait DO FUL</t>
  </si>
  <si>
    <t>TAG Begonia Move2 Joy Salmon Elat 50/50 Petite Portrait DO FUL</t>
  </si>
  <si>
    <t>TAG Begonia Move2 Joy White 50/50 Petite Portrait DO FUL</t>
  </si>
  <si>
    <t>TAG Begonia Move2 Orange 50/50 Petite Portrait DO FUL</t>
  </si>
  <si>
    <t>TAG Begonia Move2 Passion Red 50/50 Petite Portrait DO FUL</t>
  </si>
  <si>
    <t>TAG Begonia Move2 Ruby Red 50/50 Petite Portrait DO FUL</t>
  </si>
  <si>
    <t>TAG Begonia Move2 Salmon Spl Bicolor Elat 50/50 Petite Portrait DO FUL</t>
  </si>
  <si>
    <t>TAG Begonia Nadine Rhine 50/50 Petite Portrait DO FUL</t>
  </si>
  <si>
    <t>TAG Begonia Netja Dark 50/50 Petite Portrait DO FUL</t>
  </si>
  <si>
    <t>TAG Begonia Oh So Orange 100/100 Pixie Tag DO</t>
  </si>
  <si>
    <t>TAG Begonia Oh So Orange 50/50 Petite Portrait DO FUL</t>
  </si>
  <si>
    <t>TAG Begonia Rise Up Aloha Gold 50/50 Petite Portrait DO FUL</t>
  </si>
  <si>
    <t>TAG Begonia Scentiment Just Peachy 50/50 Petite Portrait DO FUL</t>
  </si>
  <si>
    <t>TAG Begonia Scentiment Sunrise 50/50 Petite Portrait DO FUL</t>
  </si>
  <si>
    <t>TAG Begonia Solenia Apricot 50/50 Petite Portrait DO FUL</t>
  </si>
  <si>
    <t>TAG Begonia Solenia Cherry 50/50 Petite Portrait DO FUL</t>
  </si>
  <si>
    <t>TAG Begonia Solenia Dark Pink 50/50 Petite Portrait DO FUL</t>
  </si>
  <si>
    <t>TAG Begonia Solenia Deep Orange 50/50 Petite Portrait DO FUL</t>
  </si>
  <si>
    <t>TAG Begonia Solenia Dusty Rose 50/50 Petite Portrait DO FUL</t>
  </si>
  <si>
    <t>TAG Begonia Solenia Light Pink 50/50 Petite Portrait DO FUL</t>
  </si>
  <si>
    <t>TAG Begonia Solenia Light Yellow 50/50 Petite Portrait DO FUL</t>
  </si>
  <si>
    <t>TAG Begonia Solenia Orange 50/50 Petite Portrait DO FUL</t>
  </si>
  <si>
    <t>TAG Begonia Solenia Red 50/50 Petite Portrait DO FUL</t>
  </si>
  <si>
    <t>TAG Begonia Solenia Red Orange 50/50 Petite Portrait DO FUL</t>
  </si>
  <si>
    <t>TAG Begonia Solenia Red Velvet 50/50 Petite Portrait DO FUL</t>
  </si>
  <si>
    <t>TAG Begonia Solenia Salmon Coral 50/50 Petite Portrait DO FUL</t>
  </si>
  <si>
    <t>TAG Begonia Unbelievable Miss Montreal 50/50 Petite Portrait DO FUL</t>
  </si>
  <si>
    <t>TAG Begonia Unbelievable Red 50/50 Petite Portrait DO FUL</t>
  </si>
  <si>
    <t>TAG Begonia Unstoppable Upright Fire 50/50 Petite Portrait DO FUL</t>
  </si>
  <si>
    <t>TAG Begonia Valentine Red Rhine 50/50 Petite Portrait DO FUL</t>
  </si>
  <si>
    <t>TAG Begonia Veronica Rhine 50/50 Petite Portrait DO FUL</t>
  </si>
  <si>
    <t>TAG Bidens Bidy Blaze 50/50 Petite Portrait DO FUL</t>
  </si>
  <si>
    <t>TAG Bidens Bidy Boom Bonfire 50/50 Petite Portrait DO FUL</t>
  </si>
  <si>
    <t>TAG Bidens Bidy Boom Ember 50/50 Petite Portrait DO FUL</t>
  </si>
  <si>
    <t>TAG Bidens Bidy Boom Red 50/50 Petite Portrait DO FUL</t>
  </si>
  <si>
    <t>TAG Bidens Bidy Gonzales 50/50 Petite Portrait DO FUL</t>
  </si>
  <si>
    <t>TAG Bidens Bidy Gonzales Big 50/50 Petite Portrait DO FUL</t>
  </si>
  <si>
    <t>TAG Bidens Bidy Gonzales Top 50/50 Petite Portrait DO FUL</t>
  </si>
  <si>
    <t>TAG Bidens Bidy Gonzales Trailing 50/50 Petite Portrait DO FUL</t>
  </si>
  <si>
    <t>TAG Bidens Bidy Wildfire 50/50 Petite Portrait DO FUL</t>
  </si>
  <si>
    <t>TAG Bidens Blazing Embers 100/100 Pixie Tag DO</t>
  </si>
  <si>
    <t>TAG Bidens Blazing Fire 100/100 Pixie Tag DO</t>
  </si>
  <si>
    <t>TAG Bidens Blazing Glory 100/100 Pixie Tag DO</t>
  </si>
  <si>
    <t>TAG Bidens Blazing Star 100/100 Pixie Tag DO</t>
  </si>
  <si>
    <t>TAG Bidens Stellar Blanco 50/50 Petite Portrait DO FUL</t>
  </si>
  <si>
    <t>TAG Bidens Stellar Orange Ring 50/50 Petite Portrait DO FUL</t>
  </si>
  <si>
    <t>TAG Bidens Stellar Orange Star 50/50 Petite Portrait DO FUL</t>
  </si>
  <si>
    <t>TAG Bidens Stellar Red Ring 50/50 Petite Portrait DO FUL</t>
  </si>
  <si>
    <t>TAG Brachyscome Mauve Delight 50/50 Petite Portrait DO FUL</t>
  </si>
  <si>
    <t>TAG Bracteantha Cottage Bronze 50/50 Petite Portrait DO FUL</t>
  </si>
  <si>
    <t>TAG Bracteantha Cottage Ice 50/50 Petite Portrait DO FUL</t>
  </si>
  <si>
    <t>TAG Bracteantha Cottage Lemon 50/50 Petite Portrait DO FUL</t>
  </si>
  <si>
    <t>TAG Bracteantha Cottage Orange 50/50 Petite Portrait DO FUL</t>
  </si>
  <si>
    <t>TAG Bracteantha Cottage Pink 50/50 Petite Portrait DO FUL</t>
  </si>
  <si>
    <t>TAG Bracteantha Cottage Spring Mix 50/50 Petite Portrait DO FUL</t>
  </si>
  <si>
    <t>TAG Buddleia Black Knight 50/50 Petite Portrait DO FUL</t>
  </si>
  <si>
    <t>TAG Buddleia Buzz Hot Raspberry 50/50 Petite Portrait DO FUL</t>
  </si>
  <si>
    <t>TAG Buddleia Buzz Magenta 50/50 Petite Portrait DO FUL</t>
  </si>
  <si>
    <t>TAG Buddleia Buzz Midnight 50/50 Petite Portrait DO FUL</t>
  </si>
  <si>
    <t>TAG Buddleia Buzz Sky Blue 50/50 Petite Portrait DO FUL</t>
  </si>
  <si>
    <t>TAG Buddleia Buzz Soft Pink 100/100 Pixie Tag DO FUL</t>
  </si>
  <si>
    <t>TAG Buddleia Little Rockstars Blue 100/100 Pixie Tag DO FUL</t>
  </si>
  <si>
    <t>TAG Buddleia Little Rockstars Pink 100/100 Pixie Tag DO FUL</t>
  </si>
  <si>
    <t>TAG Buddleia Little Rockstars Purple 100/100 Pixie Tag DO FUL</t>
  </si>
  <si>
    <t>TAG Buddleia Little Rockstars Red 100/100 Pixie Tag DO FUL</t>
  </si>
  <si>
    <t>TAG Buddleia Little Rockstars White 100/100 Pixie Tag DO FUL</t>
  </si>
  <si>
    <t>TAG Buddleia Nanho Blue 50/50 Petite Portrait DO FUL</t>
  </si>
  <si>
    <t>TAG Buddleia Nanho Purple 50/50 Petite Portrait DO FUL</t>
  </si>
  <si>
    <t>TAG Buddleia Royal Red 50/50 Petite Portrait DO FUL</t>
  </si>
  <si>
    <t>TAG Calibrachoa Aloha Blue Sky 50/50 Petite Portrait DO FUL</t>
  </si>
  <si>
    <t>TAG Calibrachoa Aloha Buttercream 50/50 Petite Portrait DO FUL</t>
  </si>
  <si>
    <t>TAG Calibrachoa Aloha Canary Yellow 50/50 Petite Portrait DO FUL</t>
  </si>
  <si>
    <t>TAG Calibrachoa Aloha Cherry Cartwheel 50/50 Petite Portrait DO FUL</t>
  </si>
  <si>
    <t>TAG Calibrachoa Aloha Clear Pink 50/50 Petite Portrait DO FUL</t>
  </si>
  <si>
    <t>TAG Calibrachoa Aloha DO FULuble Apricot 50/50 Petite Portrait DO FUL</t>
  </si>
  <si>
    <t>TAG Calibrachoa Aloha Double Bowl Of Blueberries 50/50 Pixie TAG DO FUL</t>
  </si>
  <si>
    <t>TAG Calibrachoa Aloha Double Bowl Of Cherries 50/50 Pixie TAG DO FUL</t>
  </si>
  <si>
    <t>TAG Calibrachoa Aloha DO FULuble Citric 50/50 Petite Portrait DO FUL</t>
  </si>
  <si>
    <t>TAG Calibrachoa Aloha DO FULuble Dark Pink 50/50 Petite Portrait DO FUL</t>
  </si>
  <si>
    <t>TAG Calibrachoa Aloha Double Hot Orange 50/50 Pixie TAG DO FUL</t>
  </si>
  <si>
    <t>TAG Calibrachoa Aloha DO FULuble Lavender 50/50 Petite Portrait DO FUL</t>
  </si>
  <si>
    <t>TAG Calibrachoa Aloha DO FULuble Orange 50/50 Petite Portrait DO FUL</t>
  </si>
  <si>
    <t>TAG Calibrachoa Aloha DO FULuble Pink 50/50 Petite Portrait DO FUL</t>
  </si>
  <si>
    <t>TAG Calibrachoa Aloha DO FULuble Purple 50/50 Petite Portrait DO FUL</t>
  </si>
  <si>
    <t>TAG Calibrachoa Aloha DO FULuble Red 50/50 Petite Portrait DO FUL</t>
  </si>
  <si>
    <t>TAG Calibrachoa Aloha DO FULuble Soft Pink 50/50 Petite Portrait DO FUL</t>
  </si>
  <si>
    <t>TAG Calibrachoa Aloha DO FULuble Soft Pink Eye 50/50 Petite Portrait DO FUL</t>
  </si>
  <si>
    <t>TAG Calibrachoa Aloha DO FULuble White 50/50 Petite Portrait DO FUL</t>
  </si>
  <si>
    <t>TAG Calibrachoa Aloha Hot Orange 50/50 Petite Portrait DO FUL</t>
  </si>
  <si>
    <t>TAG Calibrachoa Aloha Kona Blue Sky 50/50 Petite Portrait DO FUL</t>
  </si>
  <si>
    <t>TAG Calibrachoa Aloha Kona Cherry Red 50/50 Petite Portrait DO FUL</t>
  </si>
  <si>
    <t>TAG Calibrachoa Aloha Kona Dark Lavender CR3588 50/50 Petite Portrait DO FUL</t>
  </si>
  <si>
    <t>TAG Calibrachoa Aloha Kona Dark Lavender 50/50 Petite Portrait DO FUL</t>
  </si>
  <si>
    <t>TAG Calibrachoa Aloha Kona Dark Red 50/50 Petite Portrait DO FUL</t>
  </si>
  <si>
    <t>TAG Calibrachoa Aloha Kona Fuchsia 50/50 Petite Portrait DO FUL</t>
  </si>
  <si>
    <t>TAG Calibrachoa Aloha Kona Hawaiian Orchid 50/50 Petite Portrait DO FUL</t>
  </si>
  <si>
    <t>TAG Calibrachoa Aloha Kona Hawaiian Sunset 50/50 Petite Portrait DO FUL</t>
  </si>
  <si>
    <t>TAG Calibrachoa Aloha Kona Honeycomb 50/50 Petite Portrait DO FUL</t>
  </si>
  <si>
    <t>TAG Calibrachoa Aloha Kona Hot Orange 50/50 Petite Portrait DO FUL</t>
  </si>
  <si>
    <t>TAG Calibrachoa Aloha Kona Hot Pink 50/50 Petite Portrait DO FUL</t>
  </si>
  <si>
    <t>TAG Calibrachoa Aloha Kona Mango 50/50 Petite Portrait DO FUL</t>
  </si>
  <si>
    <t>TAG Calibrachoa Aloha Kona Midnight Blue 50/50 Petite Portrait DO FUL</t>
  </si>
  <si>
    <t>TAG Calibrachoa Aloha Kona Midnight Purple 50/50 Petite Portrait DO FUL</t>
  </si>
  <si>
    <t>TAG Calibrachoa Aloha Kona Mandarin 50/50 Petite Portrait DO FUL</t>
  </si>
  <si>
    <t>TAG Calibrachoa Aloha Kona Nani Hawaiian 50/50 Petite Portrait DO FUL</t>
  </si>
  <si>
    <t>TAG Calibrachoa Aloha Kona Neon 50/50 Petite Portrait DO FUL</t>
  </si>
  <si>
    <t>TAG Calibrachoa Aloha Kona Orange 50/50 Petite Portrait DO FUL</t>
  </si>
  <si>
    <t>TAG Calibrachoa Aloha Kona Orange Zest 50/50 Petite Portrait DO FUL</t>
  </si>
  <si>
    <t>TAG Calibrachoa Aloha Kona Pineapple 50/50 Petite Portrait DO FUL</t>
  </si>
  <si>
    <t>TAG Calibrachoa Aloha Kona Pink 50/50 Petite Portrait DO FUL</t>
  </si>
  <si>
    <t>TAG Calibrachoa Aloha Kona Royal White 50/50 Petite Portrait DO FUL</t>
  </si>
  <si>
    <t>TAG Calibrachoa Aloha Kona Soft Pink 50/50 Petite Portrait DO FUL</t>
  </si>
  <si>
    <t>TAG Calibrachoa Aloha Kona Sunshine 50/50 Petite Portrait DO FUL</t>
  </si>
  <si>
    <t>TAG Calibrachoa Aloha Kona Tiki Blue Sky 50/50 Petite Portrait DO FUL</t>
  </si>
  <si>
    <t>TAG Calibrachoa Aloha Kona Tiki Pink 50/50 Petite Portrait DO FUL</t>
  </si>
  <si>
    <t>TAG Calibrachoa Aloha Kona Tiki Soft Pink 50/50 Petite Portrait DO FUL</t>
  </si>
  <si>
    <t>TAG Calibrachoa Aloha Kona True Blue 50/50 Petite Portrait DO FUL</t>
  </si>
  <si>
    <t>TAG Calibrachoa Aloha Kona White 50/50 Petite Portrait DO FUL</t>
  </si>
  <si>
    <t>TAG Calibrachoa Aloha Kona Yellow 50/50 Petite Portrait DO FUL</t>
  </si>
  <si>
    <t>TAG Calibrachoa Aloha Midnight Purple 50/50 Petite Portrait DO FUL</t>
  </si>
  <si>
    <t>TAG Calibrachoa Aloha Nani Appleblossom 50/50 Petite Portrait DO FUL</t>
  </si>
  <si>
    <t>TAG Calibrachoa Aloha Nani Blue Sky 50/50 Petite Portrait DO FUL</t>
  </si>
  <si>
    <t>TAG Calibrachoa Aloha Nani Calibash 50/50 Petite Portrait DO FUL</t>
  </si>
  <si>
    <t>TAG Calibrachoa Aloha Nani Dark Red 50/50 Petite Portrait DO FUL</t>
  </si>
  <si>
    <t>TAG Calibrachoa Aloha Nani Fire Red 50/50 Petite Portrait DO FUL</t>
  </si>
  <si>
    <t>TAG Calibrachoa Aloha Nani Golden Girl 50/50 Petite Portrait DO FUL</t>
  </si>
  <si>
    <t>TAG Calibrachoa Aloha Nani Hawaiian Valtine 50/50 Petite Portrait DO FUL</t>
  </si>
  <si>
    <t>TAG Calibrachoa Aloha Nani Mango Tango 50/50 Petite Portrait DO FUL</t>
  </si>
  <si>
    <t>TAG Calibrachoa Aloha Nani Midnight Blue 50/50 Petite Portrait DO FUL</t>
  </si>
  <si>
    <t>TAG Calibrachoa Aloha Nani Pink 50/50 Petite Portrait DO FUL</t>
  </si>
  <si>
    <t>TAG Calibrachoa Aloha Nani Red Cartwheel 50/50 Petite Portrait DO FUL</t>
  </si>
  <si>
    <t>TAG Calibrachoa Aloha Nani Tropicana 50/50 Petite Portrait DO FUL</t>
  </si>
  <si>
    <t>TAG Calibrachoa Aloha Nani White 50/50 Petite Portrait DO FUL</t>
  </si>
  <si>
    <t>TAG Calibrachoa Aloha Neon Volcano 50/50 Petite Portrait DO FUL</t>
  </si>
  <si>
    <t>TAG Calibrachoa Aloha Pink Volcano 50/50 Petite Portrait DO FUL</t>
  </si>
  <si>
    <t>TAG Calibrachoa Aloha Purple 50/50 Petite Portrait DO FUL</t>
  </si>
  <si>
    <t>TAG Calibrachoa Aloha Purple Sky 50/50 Petite Portrait DO FUL</t>
  </si>
  <si>
    <t>TAG Calibrachoa Aloha Red 50/50 Petite Portrait DO FUL</t>
  </si>
  <si>
    <t>TAG Calibrachoa Aloha Royal White 50/50 Petite Portrait DO FUL</t>
  </si>
  <si>
    <t>TAG Calibrachoa Aloha Tiki Blue 50/50 Petite Portrait DO FUL</t>
  </si>
  <si>
    <t>TAG Calibrachoa Aloha Tiki Neon 50/50 Petite Portrait DO FUL</t>
  </si>
  <si>
    <t>TAG Calibrachoa Aloha Tiki Orange 50/50 Petite Portrait DO FUL</t>
  </si>
  <si>
    <t>TAG Calibrachoa Aloha Tiki Soft Pink 50/50 Petite Portrait DO FUL</t>
  </si>
  <si>
    <t>TAG Calibrachoa Aloha Volcano Gold 50/50 Petite Portrait DO FUL</t>
  </si>
  <si>
    <t>TAG Calibrachoa Aloha Volcano Sunset 50/50 Petite Portrait DO FUL</t>
  </si>
  <si>
    <t>TAG Calibrachoa Bloomtastic Blue Sky 50/50 Petite Portrait DO FUL</t>
  </si>
  <si>
    <t>TAG Calibrachoa Bloomtastic Cherry 50/50 Petite Portrait DO FUL</t>
  </si>
  <si>
    <t>TAG Calibrachoa Bloomtastic Chili Pepper 50/50 Petite Portrait DO FUL</t>
  </si>
  <si>
    <t>TAG Calibrachoa Bloomtastic Lavender Quartz 50/50 Petite Portrait DO FUL</t>
  </si>
  <si>
    <t>TAG Calibrachoa Bloomtastic Peach Grenadine 50/50 Petite Portrait DO FUL</t>
  </si>
  <si>
    <t>TAG Calibrachoa Bloomtastic Pineapple 50/50 Petite Portrait DO FUL</t>
  </si>
  <si>
    <t>TAG Calibrachoa Bloomtastic Pink Flare 50/50 Petite Portrait DO FUL</t>
  </si>
  <si>
    <t>TAG Calibrachoa Bloomtastic Purple 50/50 Petite Portrait DO FUL</t>
  </si>
  <si>
    <t>TAG Calibrachoa Bloomtastic Red 50/50 Petite Portrait DO FUL</t>
  </si>
  <si>
    <t>TAG Calibrachoa Bloomtastic Rose Quartz 50/50 Petite Portrait DO FUL</t>
  </si>
  <si>
    <t>TAG Calibrachoa Bloomtastic Serenity 50/50 Petite Portrait DO FUL</t>
  </si>
  <si>
    <t>TAG Calibrachoa Bloomtastic Sunshine 50/50 Petite Portrait DO FUL</t>
  </si>
  <si>
    <t>TAG Calibrachoa Bloomtastic Tiki Pink 50/50 Petite Portrait DO FUL</t>
  </si>
  <si>
    <t>TAG Calibrachoa Bloomtastic Yellow 50/50 Petite Portrait DO FUL</t>
  </si>
  <si>
    <t>TAG Calibrachoa Calitastic Ballerina 50/50 Petite Portrait DO FUL</t>
  </si>
  <si>
    <t>TAG Calibrachoa Calitastic Blood Orange 50/50 Petite Portrait DO FUL</t>
  </si>
  <si>
    <t>TAG Calibrachoa Calitastic Bordeaux Star 50/50 Petite Portrait DO FUL</t>
  </si>
  <si>
    <t>TAG Calibrachoa Calitastic Bright Purple 50/50 Petite Portrait DO FUL</t>
  </si>
  <si>
    <t>TAG Calibrachoa Calitastic Bright Red 50/50 Petite Portrait DO FUL</t>
  </si>
  <si>
    <t>TAG Calibrachoa Calitastic Caramel 50/50 Petite Portrait DO FUL</t>
  </si>
  <si>
    <t>TAG Calibrachoa Calitastic Dark Red 50/50 Petite Portrait DO FUL</t>
  </si>
  <si>
    <t>TAG Calibrachoa Calitastic Fancy Fuchsia 50/50 Petite Portrait DO FUL</t>
  </si>
  <si>
    <t>TAG Calibrachoa Calitastic Gold 50/50 Petite Portrait DO FUL</t>
  </si>
  <si>
    <t>TAG Calibrachoa Calitastic Ice Blue 50/50 Petite Portrait DO FUL</t>
  </si>
  <si>
    <t>TAG Calibrachoa Calitastic Indigo 50/50 Petite Portrait DO FUL</t>
  </si>
  <si>
    <t>TAG Calibrachoa Calitastic Mango 50/50 Petite Portrait DO FUL</t>
  </si>
  <si>
    <t>TAG Calibrachoa Calitastic Marooned 50/50 Petite Portrait DO FUL</t>
  </si>
  <si>
    <t>TAG Calibrachoa Calitastic Merry Cherry 50/50 Petite Portrait DO FUL</t>
  </si>
  <si>
    <t>TAG Calibrachoa Calitastic Noble Blue 50/50 Petite Portrait DO FUL</t>
  </si>
  <si>
    <t>TAG Calibrachoa Calitastic Orange 50/50 Petite Portrait DO FUL</t>
  </si>
  <si>
    <t>TAG Calibrachoa Calitastic Plumberry Pop 50/50 Petite Portrait DO FUL</t>
  </si>
  <si>
    <t>TAG Calibrachoa Calitastic Raspberry 50/50 Petite Portrait DO FUL</t>
  </si>
  <si>
    <t>TAG Calibrachoa Calitastic Sunnyside 50/50 Petite Portrait DO FUL</t>
  </si>
  <si>
    <t>TAG Calibrachoa Calitastic Tric Pink 50/50 Petite Portrait DO FUL</t>
  </si>
  <si>
    <t>TAG Calibrachoa Calitastic Violaceous 50/50 Petite Portrait DO FUL</t>
  </si>
  <si>
    <t>TAG Calibrachoa Candy Shop Bag Of Trix 50/50 Petite Portrait DO FUL</t>
  </si>
  <si>
    <t>TAG Calibrachoa Candy Shop Candy Bouquet 50/50 Petite Portrait DO FUL</t>
  </si>
  <si>
    <t>TAG Calibrachoa Candy Shop Candy Crush 50/50 Petite Portrait DO FUL</t>
  </si>
  <si>
    <t>TAG Calibrachoa Candy Shop Chocolate 50/50 Petite Portrait DO FUL</t>
  </si>
  <si>
    <t>TAG Calibrachoa Candy Shop Fancy Berry 50/50 Petite Portrait DO FUL</t>
  </si>
  <si>
    <t>TAG Calibrachoa Candy Shop Grape Splash 50/50 Petite Portrait DO FUL</t>
  </si>
  <si>
    <t>TAG Calibrachoa Candy Shop Pixie Stix Mix 50/50 Petite Portrait DO FUL</t>
  </si>
  <si>
    <t>TAG Calibrachoa Candy Shop Sweet Dreams 50/50 Petite Portrait DO FUL</t>
  </si>
  <si>
    <t>TAG Calibrachoa Candy Shop Sweet Tart 50/50 Petite Portrait DO FUL</t>
  </si>
  <si>
    <t>TAG Calibrachoa Chameleon Atomic Orange 50/50 Petite Portrait DO FUL</t>
  </si>
  <si>
    <t>TAG Calibrachoa Chameleon Avant Garden 50/50 Petite Portrait DO FUL</t>
  </si>
  <si>
    <t>TAG Calibrachoa Chameleon Blackberry Pie 50/50 Petite Portrait DO FUL</t>
  </si>
  <si>
    <t>TAG Calibrachoa Chameleon Blackberry Tart 50/50 Petite Portrait DO FUL</t>
  </si>
  <si>
    <t>TAG Calibrachoa Celebration Chameleon Blueberry Scone 50/50 Petite Portrait DO FUL</t>
  </si>
  <si>
    <t>TAG Calibrachoa Chameleon Double Desert Rose 50/50 Petite Portrait DO FUL</t>
  </si>
  <si>
    <t>TAG Calibrachoa Chameleon Double Inferno 50/50 Petite Portrait DO FUL</t>
  </si>
  <si>
    <t>TAG Calibrachoa Chameleon Double Pink Yellow 50/50 Petite Portrait DO FUL</t>
  </si>
  <si>
    <t>TAG Calibrachoa Chameleon Fairytale 50/50 Petite Portrait DO FUL</t>
  </si>
  <si>
    <t>TAG Calibrachoa Chameleon Fashionista 50/50 Petite Portrait DO FUL</t>
  </si>
  <si>
    <t>TAG Calibrachoa Chameleon Frozen Ice 50/50 Petite Portrait DO FUL</t>
  </si>
  <si>
    <t>TAG Calibrachoa Chameleon Indian Summer 50/50 Petite Portrait DO FUL</t>
  </si>
  <si>
    <t>TAG Calibrachoa Chameleon Lavender Sorbet 50/50 Petite Portrait DO FUL</t>
  </si>
  <si>
    <t>TAG Calibrachoa Chameleon Pink Diamond 50/50 Petite Portrait DO FUL</t>
  </si>
  <si>
    <t>TAG Calibrachoa Chameleon Pink Passion 50/50 Petite Portrait DO FUL</t>
  </si>
  <si>
    <t>TAG Calibrachoa Chameleon Pink Sorbet 50/50 Petite Portrait DO FUL</t>
  </si>
  <si>
    <t>TAG Calibrachoa Chameleon Starlet Pink 50/50 Petite Portrait DO FUL</t>
  </si>
  <si>
    <t>TAG Calibrachoa Chameleon Sunshine 22 50/50 Petite Portrait DO FUL</t>
  </si>
  <si>
    <t>TAG Calibrachoa Chameleon Sunshine Berry 50/50 Petite Portrait DO FUL</t>
  </si>
  <si>
    <t>TAG Calibrachoa Chameleon Tart Deco 50/50 Petite Portrait DO FUL</t>
  </si>
  <si>
    <t>TAG Calibrachoa Dracula 50/50 Petite Portrait DO FUL</t>
  </si>
  <si>
    <t>TAG Calibrachoa Hula Amethyst 50/50 Petite Portrait DO FUL</t>
  </si>
  <si>
    <t>TAG Calibrachoa Hula Appleblossom 50/50 Petite Portrait DO FUL</t>
  </si>
  <si>
    <t>TAG Calibrachoa Hula Blue 50/50 Petite Portrait DO FUL</t>
  </si>
  <si>
    <t>TAG Calibrachoa Hula Gold 50/50 Petite Portrait DO FUL</t>
  </si>
  <si>
    <t>TAG Calibrachoa Hula Gold Medal 50/50 Petite Portrait DO FUL</t>
  </si>
  <si>
    <t>TAG Calibrachoa Hula Hot Pink 50/50 Petite Portrait DO FUL</t>
  </si>
  <si>
    <t>TAG Calibrachoa Hula Orange 50/50 Petite Portrait DO FUL</t>
  </si>
  <si>
    <t>TAG Calibrachoa Hula Pastel Pink 50/50 Petite Portrait DO FUL</t>
  </si>
  <si>
    <t>TAG Calibrachoa Hula Red 50/50 Petite Portrait DO FUL</t>
  </si>
  <si>
    <t>TAG Calibrachoa Hula Soft Pink 50/50 Petite Portrait DO FUL</t>
  </si>
  <si>
    <t>TAG Calibrachoa Illusion 50/50 Petite Portrait DO FUL</t>
  </si>
  <si>
    <t>TAG Calibrachoa Lavender Spring 50/50 Petite Portrait DO FUL</t>
  </si>
  <si>
    <t>TAG Calibrachoa Lindura Orange 50/50 Petite Portrait DO FUL</t>
  </si>
  <si>
    <t>TAG Calibrachoa Lindura White Yellow Heart 50/50 Petite Portrait DO FUL</t>
  </si>
  <si>
    <t>TAG Calibrachoa Rainbow Bermuda Blue 50/50 Petite Portrait DO FUL</t>
  </si>
  <si>
    <t>TAG Calibrachoa Rainbow Calypso Coral 50/50 Petite Portrait DO FUL</t>
  </si>
  <si>
    <t>TAG Calibrachoa Rainbow Flamingo Flair 50/50 Petite Portrait DO FUL</t>
  </si>
  <si>
    <t>TAG Calibrachoa Rainbow Iced Blueberry 50/50 Petite Portrait DO FUL</t>
  </si>
  <si>
    <t>TAG Calibrachoa Rainbow Maple Sugar 50/50 Petite Portrait DO FUL</t>
  </si>
  <si>
    <t>TAG Calibrachoa Rainbow Orange Oasis 50/50 Petite Portrait DO FUL</t>
  </si>
  <si>
    <t>TAG Calibrachoa Rainbow Pink Paloma 50/50 Petite Portrait DO FUL</t>
  </si>
  <si>
    <t>TAG Calibrachoa Rainbow Parisian Pink 50/50 Petite Portrait DO FUL</t>
  </si>
  <si>
    <t>TAG Calibrachoa Rainbow Pink Blush 50/50 Petite Portrait DO FUL</t>
  </si>
  <si>
    <t>TAG Calibrachoa Rainbow Pink Pepperberry 50/50 Petite Portrait DO FUL</t>
  </si>
  <si>
    <t>TAG Calibrachoa Rainbow Tiger Tail 50/50 Petite Portrait DO FUL</t>
  </si>
  <si>
    <t>TAG Calibrachoa Skywalker 50/50 Petite Portrait DO FUL</t>
  </si>
  <si>
    <t>TAG Calibrachoa TikTok Apricot 50/50 Pixie TAG DO FUL</t>
  </si>
  <si>
    <t>TAG Calibrachoa TikTok Blue 50/50 Petite Portrait DO FUL</t>
  </si>
  <si>
    <t>TAG Calibrachoa TikTok Crystal 50/50 Petite Portrait DO FUL</t>
  </si>
  <si>
    <t>TAG Calibrachoa TikTok Grape 50/50 Petite Portrait DO FUL</t>
  </si>
  <si>
    <t>TAG Calibrachoa TikTok Orange 50/50 Petite Portrait DO FUL</t>
  </si>
  <si>
    <t>TAG Calibrachoa TikTok Pink 50/50 Petite Portrait DO FUL</t>
  </si>
  <si>
    <t>TAG Calibrachoa TikTok Rose 50/50 Petite Portrait DO FUL</t>
  </si>
  <si>
    <t>TAG Calibrachoa TikTok Sky Blue 50/50 Petite Portrait DO FUL</t>
  </si>
  <si>
    <t>TAG Calibrachoa TikTok White 50/50 Petite Portrait DO FUL</t>
  </si>
  <si>
    <t>TAG Calibrachoa Volcano Gold 50/50 Petite Portrait DO FUL</t>
  </si>
  <si>
    <t>TAG Calibrachoa Volcano Neon 50/50 Petite Portrait DO FUL</t>
  </si>
  <si>
    <t>TAG Calibrachoa Pink Volcano 50/50 Petite Portrait DO FUL</t>
  </si>
  <si>
    <t>TAG Calibrachoa Volcano Sunrise 50/50 Petite Portrait DO FUL</t>
  </si>
  <si>
    <t>TAG Calibrachoa Volcano Sunset 50/50 Petite Portrait DO FUL</t>
  </si>
  <si>
    <t>TAG Caryopteris Dark Knight 100/100 Pixie Tag DO FUL</t>
  </si>
  <si>
    <t>TAG Caryopteris Gold Crest 100/100 Pixie Tag DO FUL</t>
  </si>
  <si>
    <t>TAG Centaurea Chrome Fountain 50/50 Petite Portrait DO FUL</t>
  </si>
  <si>
    <t>TAG Ceratostigma Plumbaginoides 100/100 Pixie Tag DO FUL</t>
  </si>
  <si>
    <t>TAG Chamaecyparis Star Dust White Sparkle 50/50 Petite Portrait DO FUL</t>
  </si>
  <si>
    <t>TAG Chelone Tiny Tortuga 50/50 Petite Portrait DO FUL</t>
  </si>
  <si>
    <t>TAG Chrysanthemum 24Karamum Bronze 50/50 Petite Portrait DO FUL</t>
  </si>
  <si>
    <t>TAG Chrysanthemum 24Karamum Gold 50/50 Petite Portrait DO FUL</t>
  </si>
  <si>
    <t>TAG Chrysanthemum Apple Cider 50/50 Petite Portrait DO FUL</t>
  </si>
  <si>
    <t>TAG Chrysanthemum Arlette Purple 100/100 Pixie Tag DO</t>
  </si>
  <si>
    <t>TAG Chrysanthemum Ashley Red 100/100 Pixie Tag DO</t>
  </si>
  <si>
    <t>TAG Chrysanthemum Aubrey Orange 100/100 Pixie Tag DO</t>
  </si>
  <si>
    <t>TAG Chrysanthemum Autumn Sunset 100/100 Pixie Tag DO</t>
  </si>
  <si>
    <t>TAG Chrysanthemum Balance Bronze Bicolor 50/50 Petite Portrait DO FUL</t>
  </si>
  <si>
    <t>TAG Chrysanthemum Banquet Pink Bicolor 50/50 Petite Portrait DO FUL</t>
  </si>
  <si>
    <t>TAG Chrysanthemum Banquet Purple 50/50 Petite Portrait DO FUL</t>
  </si>
  <si>
    <t>TAG Chrysanthemum Banquet Red Bicolor 50/50 Petite Portrait DO FUL</t>
  </si>
  <si>
    <t>TAG Chrysanthemum Beach Yellow 50/50 Petite Portrait DO FUL</t>
  </si>
  <si>
    <t>TAG Chrysanthemum Berry Blast Bicolor 50/50 Petite Portrait DO FUL</t>
  </si>
  <si>
    <t>TAG Chrysanthemum Bliss White 50/50 Petite Portrait DO FUL</t>
  </si>
  <si>
    <t>TAG Chrysanthemum Blitz Lemon 50/50 Petite Portrait DO FUL</t>
  </si>
  <si>
    <t>TAG Chrysanthemum Buzz Lavender 50/50 Petite Portrait DO FUL</t>
  </si>
  <si>
    <t>TAG Chrysanthemum Buzz Merlot 50/50 Petite Portrait DO FUL</t>
  </si>
  <si>
    <t>TAG Chrysanthemum Calm White 50/50 Petite Portrait DO FUL</t>
  </si>
  <si>
    <t>TAG Chrysanthemum Catch Red 50/50 Petite Portrait DO FUL</t>
  </si>
  <si>
    <t>TAG Chrysanthemum Ceremony White 50/50 Petite Portrait DO FUL</t>
  </si>
  <si>
    <t>TAG Chrysanthemum Champagne 50/50 Petite Portrait DO FUL</t>
  </si>
  <si>
    <t>TAG Chrysanthemum Cheer Red 50/50 Petite Portrait DO FUL</t>
  </si>
  <si>
    <t>TAG Chrysanthemum Cherry Purple 50/50 Petite Portrait DO FUL</t>
  </si>
  <si>
    <t>TAG Chrysanthemum Cherry Red 50/50 Petite Portrait DO FUL</t>
  </si>
  <si>
    <t>TAG Chrysanthemum Chili Red 50/50 Petite Portrait DO FUL</t>
  </si>
  <si>
    <t>TAG Chrysanthemum Concert Purple 50/50 Petite Portrait DO FUL</t>
  </si>
  <si>
    <t>TAG Chrysanthemum Cruise Yellow 50/50 Petite Portrait DO FUL</t>
  </si>
  <si>
    <t>TAG Chrysanthemum Crush Orange 50/50 Petite Portrait DO FUL</t>
  </si>
  <si>
    <t>TAG Chrysanthemum Darling Pink 50/50 Petite Portrait DO FUL</t>
  </si>
  <si>
    <t>TAG Chrysanthemum Desire Golden 50/50 Petite Portrait DO FUL</t>
  </si>
  <si>
    <t>TAG Chrysanthemum Ditto Dark Orange 50/50 Petite Portrait DO FUL</t>
  </si>
  <si>
    <t>TAG Chrysanthemum Ditto Dark Pink 50/50 Petite Portrait DO FUL</t>
  </si>
  <si>
    <t>TAG Chrysanthemum Ditto Pink 50/50 Petite Portrait DO FUL</t>
  </si>
  <si>
    <t>TAG Chrysanthemum Ditto White 50/50 Petite Portrait DO FUL</t>
  </si>
  <si>
    <t>TAG Chrysanthemum Ditto Yellow 50/50 Petite Portrait DO FUL</t>
  </si>
  <si>
    <t>TAG Chrysanthemum Ecstatic Purple 50/50 Petite Portrait DO FUL</t>
  </si>
  <si>
    <t>TAG Chrysanthemum Elated Purple 50/50 Petite Portrait DO FUL</t>
  </si>
  <si>
    <t>TAG Chrysanthemum Fair White 50/50 Petite Portrait DO FUL</t>
  </si>
  <si>
    <t>TAG Chrysanthemum Festival Purple 50/50 Petite Portrait DO FUL</t>
  </si>
  <si>
    <t>TAG Chrysanthemum Field Yellow 50/50 Petite Portrait DO FUL</t>
  </si>
  <si>
    <t>TAG Chrysanthemum Fiesta Red 50/50 Petite Portrait DO FUL</t>
  </si>
  <si>
    <t>TAG Chrysanthemum Flame Bicolor 50/50 Petite Portrait DO FUL</t>
  </si>
  <si>
    <t>TAG Chrysanthemum Fresh White 50/50 Petite Portrait DO FUL</t>
  </si>
  <si>
    <t>TAG Chrysanthemum Goal Light Bronze 50/50 Petite Portrait DO FUL</t>
  </si>
  <si>
    <t>TAG Chrysanthemum Goal Orange 50/50 Petite Portrait DO FUL</t>
  </si>
  <si>
    <t>TAG Chrysanthemum Goal Yellow 50/50 Petite Portrait DO FUL</t>
  </si>
  <si>
    <t>TAG Chrysanthemum Homerun Orange 50/50 Petite Portrait DO FUL</t>
  </si>
  <si>
    <t>TAG Chrysanthemum Homerun Pink 50/50 Petite Portrait DO FUL</t>
  </si>
  <si>
    <t>TAG Chrysanthemum Homerun Scarlet 50/50 Petite Portrait DO FUL</t>
  </si>
  <si>
    <t>TAG Chrysanthemum Homerun White 50/50 Petite Portrait DO FUL</t>
  </si>
  <si>
    <t>TAG Chrysanthemum Homerun Yellow 50/50 Petite Portrait DO FUL</t>
  </si>
  <si>
    <t>TAG Chrysanthemum Jamboree Pink/White 50/50 Petite Portrait DO FUL</t>
  </si>
  <si>
    <t>TAG Chrysanthemum Jamboree Purple/White 50/50 Petite Portrait DO FUL</t>
  </si>
  <si>
    <t>TAG Chrysanthemum Jamboree Red/Yellow 50/50 Petite Portrait DO FUL</t>
  </si>
  <si>
    <t>TAG Chrysanthemum Jolly Dark Bronze 50/50 Petite Portrait DO FUL</t>
  </si>
  <si>
    <t>TAG Chrysanthemum Jubilant Red 50/50 Petite Portrait DO FUL</t>
  </si>
  <si>
    <t>TAG Chrysanthemum Jump White 50/50 Petite Portrait DO FUL</t>
  </si>
  <si>
    <t>TAG Chrysanthemum Kick Orange 50/50 Petite Portrait DO FUL</t>
  </si>
  <si>
    <t>TAG Chrysanthemum Lagoon Purple 50/50 Petite Portrait DO FUL</t>
  </si>
  <si>
    <t>TAG Chrysanthemum League Pink 50/50 Petite Portrait DO FUL</t>
  </si>
  <si>
    <t>TAG Chrysanthemum Lively Pink Bicolor 50/50 Petite Portrait DO FUL</t>
  </si>
  <si>
    <t>TAG Chrysanthemum Lively Red Bicolor 50/50 Petite Portrait DO FUL</t>
  </si>
  <si>
    <t>TAG Chrysanthemum Lucky Purple 50/50 Petite Portrait DO FUL</t>
  </si>
  <si>
    <t>TAG Chrysanthemum Melody Bronze 50/50 Petite Portrait DO FUL</t>
  </si>
  <si>
    <t>TAG Chrysanthemum Meridian Dark Pink 50/50 Petite Portrait DO FUL</t>
  </si>
  <si>
    <t>TAG Chrysanthemum Merry Bronze Bicolor 50/50 Petite Portrait DO FUL</t>
  </si>
  <si>
    <t>TAG Chrysanthemum Mimosa 50/50 Petite Portrait DO FUL</t>
  </si>
  <si>
    <t>TAG Chrysanthemum Parade Pink 50/50 Petite Portrait DO FUL</t>
  </si>
  <si>
    <t>TAG Chrysanthemum Party Yellow 50/50 Petite Portrait DO FUL</t>
  </si>
  <si>
    <t>TAG Chrysanthemum Peppermint Passion Pink 50/50 Petite Portrait DO FUL</t>
  </si>
  <si>
    <t>TAG Chrysanthemum Power Red 50/50 Petite Portrait DO FUL</t>
  </si>
  <si>
    <t>TAG Chrysanthemum Pride Pink 50/50 Petite Portrait DO FUL</t>
  </si>
  <si>
    <t>TAG Chrysanthemum Race Orange 50/50 Petite Portrait DO FUL</t>
  </si>
  <si>
    <t>TAG Chrysanthemum Reef Bronze 50/50 Petite Portrait DO FUL</t>
  </si>
  <si>
    <t>TAG Chrysanthemum Score White 50/50 Petite Portrait DO FUL</t>
  </si>
  <si>
    <t>TAG Chrysanthemum Seaside Red 50/50 Petite Portrait DO FUL</t>
  </si>
  <si>
    <t>TAG Chrysanthemum Shore Appleblossom 50/50 Petite Portrait DO FUL</t>
  </si>
  <si>
    <t>TAG Chrysanthemum Sing Yellow 50/50 Petite Portrait DO FUL</t>
  </si>
  <si>
    <t>TAG Chrysanthemum Solar Flare 50/50 Petite Portrait DO FUL</t>
  </si>
  <si>
    <t>TAG Chrysanthemum Starspot 50/50 Petite Portrait DO FUL</t>
  </si>
  <si>
    <t>TAG Chrysanthemum Strawberry Ice 50/50 Petite Portrait DO FUL</t>
  </si>
  <si>
    <t>TAG Chrysanthemum Sunblaze Flame 50/50 Petite Portrait DO FUL</t>
  </si>
  <si>
    <t>TAG Chrysanthemum Tiger Eyes 50/50 Petite Portrait DO FUL</t>
  </si>
  <si>
    <t>TAG Chrysanthemum Toast Orange 50/50 Petite Portrait DO FUL</t>
  </si>
  <si>
    <t>TAG Chrysanthemum Touchdown Bicolor Pink 50/50 Petite Portrait DO FUL</t>
  </si>
  <si>
    <t>TAG Chrysanthemum Touchdown Orange 50/50 Petite Portrait DO FUL</t>
  </si>
  <si>
    <t>TAG Chrysanthemum Touchdown Purple 50/50 Petite Portrait DO FUL</t>
  </si>
  <si>
    <t>TAG Chrysanthemum Touchdown White 50/50 Petite Portrait DO FUL</t>
  </si>
  <si>
    <t>TAG Chrysanthemum Touchdown Yellow 50/50 Petite Portrait DO FUL</t>
  </si>
  <si>
    <t>TAG Chrysanthemum Volley Red 50/50 Petite Portrait DO FUL</t>
  </si>
  <si>
    <t>TAG Chrysanthemum Whimsy Yellow 50/50 Petite Portrait DO FUL</t>
  </si>
  <si>
    <t>TAG Chrysanthemum Wonder Yellow 50/50 Petite Portrait DO FUL</t>
  </si>
  <si>
    <t>TAG Coleus Alabama 50/50 Petite Portrait DO FUL</t>
  </si>
  <si>
    <t>TAG Coleus Allspice 50/50 Petite Portrait DO FUL</t>
  </si>
  <si>
    <t>TAG Coleus Dipt In Wine 50/50 Petite Portrait DO FUL</t>
  </si>
  <si>
    <t>TAG Coleus Kingswood Torch 50/50 Petite Portrait DO FUL</t>
  </si>
  <si>
    <t>TAG Coelus Down Town Columbus 50/50 Petite Portrait DO FUL</t>
  </si>
  <si>
    <t>TAG Coleus Down Town Dallas 50/50 Petite Portrait DO FUL</t>
  </si>
  <si>
    <t>TAG Coleus DO FULwn Town Greenville 50/50 Petite Portrait DO FUL</t>
  </si>
  <si>
    <t>TAG Coleus Down Town Le Freak 50/50 Petite Portrait DO FUL</t>
  </si>
  <si>
    <t>TAG Coleus DO FULwn Town Miami Magic 50/50 Petite Portrait DO FUL</t>
  </si>
  <si>
    <t>TAG Coleus Down Town Nashville 50/50 Pixie TAG DO FUL</t>
  </si>
  <si>
    <t>TAG Coleus DO FULwn Town NYC Nights 50/50 Petite Portrait DO FUL</t>
  </si>
  <si>
    <t>TAG Coleus Down Town Port Fairy 50/50 Petite Portrait DO FUL</t>
  </si>
  <si>
    <t>TAG Coleus Down Town Portland 50/50 Petite Portrait DO FUL</t>
  </si>
  <si>
    <t>TAG Coleus DO FULwn Town Santa Monica 50/50 Petite Portrait DO FUL</t>
  </si>
  <si>
    <t>TAG Coleus DO FULwn Town Vegas Neon 50/50 Petite Portrait DO FUL</t>
  </si>
  <si>
    <t>TAG Coleus Fancy Feathers Black 50/50 Petite Portrait DO FUL</t>
  </si>
  <si>
    <t>TAG Coleus Fancy Feathers Copper 50/50 Petite Portrait DO FUL</t>
  </si>
  <si>
    <t>TAG Coleus Fancy Feathers Pink 50/50 Petite Portrait DO FUL</t>
  </si>
  <si>
    <t>TAG Coleus Fiona 50/50 Petite Portrait DO FUL</t>
  </si>
  <si>
    <t>TAG Coleus Gay's Delight 50/50 Petite Portrait DO FUL</t>
  </si>
  <si>
    <t>TAG Coleus Great Falls Angel 50/50 Petite Portrait DO FUL</t>
  </si>
  <si>
    <t>TAG Coleus Great Falls Iguazu 50/50 Petite Portrait DO FUL</t>
  </si>
  <si>
    <t>TAG Coleus Great Falls Niagra 50/50 Petite Portrait DO FUL</t>
  </si>
  <si>
    <t>TAG Coleus Great Falls Yosemite 50/50 Petite Portrait DO FUL</t>
  </si>
  <si>
    <t>TAG Coleus Green Lantern 50/50 Petite Portrait DO FUL</t>
  </si>
  <si>
    <t>TAG Coleus Hipsters Jillian 50/50 Petite Portrait DO FUL</t>
  </si>
  <si>
    <t>TAG Coleus Hipsters Piper 50/50 Petite Portrait DO FUL</t>
  </si>
  <si>
    <t>TAG Coleus Hipsters Zooey 50/50 Petite Portrait DO FUL</t>
  </si>
  <si>
    <t>TAG Coleus Lavish Lime 50/50 Petite Portrait DO FUL</t>
  </si>
  <si>
    <t>TAG Coleus Le Freak 50/50 Petite Portrait DO FUL</t>
  </si>
  <si>
    <t>TAG Coleus Lovebird 50/50 Petite Portrait DO FUL</t>
  </si>
  <si>
    <t>TAG Coleus Macaw 50/50 Petite Portrait DO FUL</t>
  </si>
  <si>
    <t>TAG Coleus Maharaja 50/50 Petite Portrait DO FUL</t>
  </si>
  <si>
    <t>TAG Coleus Main Street Abbey Road 50/50 Petite Portrait DO FUL</t>
  </si>
  <si>
    <t>TAG Coleus Main Street Alligator Alley 50/50 Petite Portrait DO FUL</t>
  </si>
  <si>
    <t>TAG Coleus Main Street Ashbury 50/50 Petite Portrait DO FUL</t>
  </si>
  <si>
    <t>TAG Coleus Main Street Beale Street 50/50 Petite Portrait DO FUL</t>
  </si>
  <si>
    <t>TAG Coleus Main Street Bourbon Street 50/50 Petite Portrait DO FUL</t>
  </si>
  <si>
    <t>TAG Coleus Main Street Broad St 50/50 Petite Portrait DO FUL</t>
  </si>
  <si>
    <t>TAG Coleus Main Street Chartres Street 50/50 Petite Portrait DO FUL</t>
  </si>
  <si>
    <t>TAG Coleus Main Street Fifth Avenue 50/50 Petite Portrait DO FUL</t>
  </si>
  <si>
    <t>TAG Coleus Main Street Fiori Square 50/50 Petite Portrait DO FUL</t>
  </si>
  <si>
    <t>TAG Coleus Main Street La Rambla 50/50 Petite Portrait DO FUL</t>
  </si>
  <si>
    <t>TAG Coelus Main Street Lombard Street 50/50 Petite Portrait DO FUL</t>
  </si>
  <si>
    <t>TAG Coleus Main Street Michigan Avenue 50/50 Petite Portrait DO FUL</t>
  </si>
  <si>
    <t>TAG Coleus Main Street Ocean Drive 50/50 Petite Portrait DO FUL</t>
  </si>
  <si>
    <t>TAG Coleus Main Street Orchard Red 50/50 Petite Portrait DO FUL</t>
  </si>
  <si>
    <t>TAG Coleus Oxford Street 50/50 Petite Portrait DO FUL</t>
  </si>
  <si>
    <t>TAG Coleus Main Street Portage Avenue 50/50 Petite Portrait DO FUL</t>
  </si>
  <si>
    <t>TAG Coleus Main Street River Walk 50/50 Petite Portrait DO FUL</t>
  </si>
  <si>
    <t>TAG Coleus Main Street Ruby Red 50/50 Petite Portrait DO FUL</t>
  </si>
  <si>
    <t>TAG Coleus Main Street Sunset Boulevard 50/50 Petite Portrait DO FUL</t>
  </si>
  <si>
    <t>TAG Coleus Main Street Times Square 50/50 Petite Portrait DO FUL</t>
  </si>
  <si>
    <t>TAG Coleus Main Street Venice Boulevard 50/50 Petite Portrait DO FUL</t>
  </si>
  <si>
    <t>TAG Coleus Main Street Wall Street 50/50 Petite Portrait DO FUL</t>
  </si>
  <si>
    <t>TAG Coleus Main Street Yonge Street 50/50 Petite Portrait DO FUL</t>
  </si>
  <si>
    <t>TAG Coleus Quetzal 50/50 Petite Portrait DO FUL</t>
  </si>
  <si>
    <t>TAG Coleus Rodeo Drive 50/50 Petite Portrait DO FUL</t>
  </si>
  <si>
    <t>TAG Coleus Stained Glassworks Big Blonde 50/50 Petite Portrait DO FUL</t>
  </si>
  <si>
    <t>TAG Coleus Stained Glassworks Copper 50/50 Petite Portrait DO FUL</t>
  </si>
  <si>
    <t>TAG Coleus Stained Glassworks Crown Jewel 50/50 Petite Portrait DO FUL</t>
  </si>
  <si>
    <t>TAG Coleus Stained Glassworks Eruption CR3858 50/50 Petite Portrait DO FUL</t>
  </si>
  <si>
    <t>TAG Coleus Stained Glassworks Eruption 50/50 Petite Portrait DO FUL</t>
  </si>
  <si>
    <t>TAG Coleus Stained Glassworks Flashbulb 50/50 Petite Portrait DO FUL</t>
  </si>
  <si>
    <t>TAG Coleus Stained Glassworks Golden Gate 50/50 Petite Portrait DO FUL</t>
  </si>
  <si>
    <t>TAG Coleus Stained Glassworks Kiwi 50/50 Petite Portrait DO FUL</t>
  </si>
  <si>
    <t>TAG Coleus Stained Glassworks Luminesce 50/50 Petite Portrait DO FUL</t>
  </si>
  <si>
    <t>TAG Coleus Stained Glassworks Pineapple Express 50/50 Petite Portrait DO FUL</t>
  </si>
  <si>
    <t>TAG Coleus Stained Glassworks Presidio 50/50 Petite Portrait DO FUL</t>
  </si>
  <si>
    <t>TAG Coleus Stained Glassworks Raspberry Tart 50/50 Petite Portrait DO FUL</t>
  </si>
  <si>
    <t>TAG Coleus Stained Glassworks Royalty 50/50 Petite Portrait DO FUL</t>
  </si>
  <si>
    <t>TAG Coleus Stained Glassworks Tilt A Whirl 50/50 Petite Portrait DO FUL</t>
  </si>
  <si>
    <t>TAG Coleus Stained Glassworks Trailing Monarch 50/50 Petite Portrait DO FUL</t>
  </si>
  <si>
    <t>TAG Coleus Stained Glassworks Trailing Plum 50/50 Petite Portrait DO FUL</t>
  </si>
  <si>
    <t>TAG Coleus Stained Glassworks Velvet 50/50 Petite Portrait DO FUL</t>
  </si>
  <si>
    <t>TAG Coleus Splish Splash Rose Gold 50/50 Petite Portrait DO FUL</t>
  </si>
  <si>
    <t>TAG Coleus Terra Nova Electric Slide 50/50 Petite Portrait DO FUL</t>
  </si>
  <si>
    <t>TAG Coleus Wildfire Blaze 50/50 Petite Portrait DO FUL</t>
  </si>
  <si>
    <t>TAG Coleus Wildfire Ignition 50/50 Petite Portrait DO FUL</t>
  </si>
  <si>
    <t>TAG Coleus Wildfire Smoky Rose 50/50 Petite Portrait DO FUL</t>
  </si>
  <si>
    <t>TAG Combo Garden Party Abigail 50/50 Petite Portrait DO FUL</t>
  </si>
  <si>
    <t>TAG Combo Garden Party Alisa 50/50 Petite Portrait DO FUL</t>
  </si>
  <si>
    <t>TAG Combo Garden Party Birthday Party 50/50 Petite Portrait DO FUL</t>
  </si>
  <si>
    <t>TAG Combo Garden Party Brogan 50/50 Petite Portrait DO FUL</t>
  </si>
  <si>
    <t>TAG Combo Garden Party Christa 50/50 Petite Portrait DO FUL</t>
  </si>
  <si>
    <t>TAG Combo Garden Party Christine 50/50 Petite Portrait DO FUL</t>
  </si>
  <si>
    <t>TAG Combo Garden Party Combo 50/50 Petite Portrait DO FUL</t>
  </si>
  <si>
    <t>TAG Combo Garden Party Combo Garden 50/50 Petite Portrait DO FUL</t>
  </si>
  <si>
    <t>TAG Combo Garden Party Diane 50/50 Petite Portrait DO FUL</t>
  </si>
  <si>
    <t>TAG Combo Garden Party Emily 50/50 Petite Portrait DO FUL</t>
  </si>
  <si>
    <t>TAG Combo Garden Party Jennifer 50/50 Petite Portrait DO FUL</t>
  </si>
  <si>
    <t>TAG Combo Garden Party Jenny 50/50 Petite Portrait DO FUL</t>
  </si>
  <si>
    <t>TAG Combo Garden Party Kate 50/50 Petite Portrait DO FUL</t>
  </si>
  <si>
    <t>TAG Combo Garden Party Lindsay 50/50 Petite Portrait DO FUL</t>
  </si>
  <si>
    <t>TAG Combo Garden Party Nikki 50/50 Petite Portrait DO FUL</t>
  </si>
  <si>
    <t>TAG Combo Garden Party Pool Party 50/50 Petite Portrait DO FUL</t>
  </si>
  <si>
    <t>TAG Combo Garden Party Rebecca 50/50 Petite Portrait DO FUL</t>
  </si>
  <si>
    <t>TAG Combo Garden Party Sonja 50/50 Petite Portrait DO FUL</t>
  </si>
  <si>
    <t>TAG Combo Garden Party Tea Party 50/50 Petite Portrait DO FUL</t>
  </si>
  <si>
    <t>TAG Combo Garden Party Valorie 50/50 Petite Portrait DO FUL</t>
  </si>
  <si>
    <t>TAG Combo Garden Party Yellow Balloons 50/50 Petite Portrait DO FUL</t>
  </si>
  <si>
    <t>TAG Combo Verbena Estrella Sangria Mix 50/50 Petite Portrait DO FUL</t>
  </si>
  <si>
    <t>TAG Combo Vibe Good Vibrations 50/50 Petite Portrait DO FUL</t>
  </si>
  <si>
    <t>TAG Confetti Garden Aloha Kona Colorplay 50/50 Petite Portrait DO FUL</t>
  </si>
  <si>
    <t>TAG Confetti Garden Aloha Kona Hawaiian Color Clash 50/50 Petite Portrait DO FUL</t>
  </si>
  <si>
    <t>TAG Confetti Garden Aloha Kona Hawaiian Country 50/50 Petite Portrait DO FUL</t>
  </si>
  <si>
    <t>TAG Confetti Garden Aloha Kona Hawaiian Fruit Bowl 50/50 Petite Portrait DO FUL</t>
  </si>
  <si>
    <t>TAG Confetti Garden Aloha Kona Hawaiian Gold 50/50 Petite Portrait DO FUL</t>
  </si>
  <si>
    <t>TAG Confetti Garden Aloha Kona Hawaiian Hoku Star 50/50 Petite Portrait DO FUL</t>
  </si>
  <si>
    <t>TAG Confetti Garden Aloha Kona Hawaiin Hilo 50/50 Petite Portrait DO FUL</t>
  </si>
  <si>
    <t>TAG Confetti Aloha Kona Hawaiian Hula 50/50 Petite Portrait DO FUL</t>
  </si>
  <si>
    <t>TAG Confetti Garden Aloha Kona Hawaiian Hula Lilli 50/50 Petite Portrait DO FUL</t>
  </si>
  <si>
    <t>TAG Confetti Garden Aloha Kona Hawaiian Kalani 50/50 Petite Portrait DO FUL</t>
  </si>
  <si>
    <t>TAG Confetti Garden Aloha Kona Hawaiian Kona Flamingo 50/50 Petite Portrait DO FUL</t>
  </si>
  <si>
    <t>TAG Confetti Garden Aloha Kona Hawaiian Luau 50/50 Petite Portrait DO FUL</t>
  </si>
  <si>
    <t>TAG Confetti Garden Aloha Kona Mahalo 50/50 Petite Portrait DO FUL</t>
  </si>
  <si>
    <t>TAG Confetti Aloha Kona Hawaiian Mai Tai 50/50 Petite Portrait DO FUL</t>
  </si>
  <si>
    <t>TAG Confetti Garden Aloha Kona Hawaiian Ohana 50/50 Petite Portrait DO FUL</t>
  </si>
  <si>
    <t>TAG Confetti Garden Aloha Kona Hawaiian Pink Fusion 50/50 Petite Portrait DO FUL</t>
  </si>
  <si>
    <t>TAG Confetti Garden Aloha Kona Hawaiian Sailaway 50/50 Petite Portrait DO FUL</t>
  </si>
  <si>
    <t>TAG Confetti Aloha Kona Hawaiian Sunfish 50/50 Petite Portrait DO FUL</t>
  </si>
  <si>
    <t>TAG Confetti Garden Aloha Kona Hawaiian Vulcano Kea 50/50 Petite Portrait DO FUL</t>
  </si>
  <si>
    <t>TAG Confetti Garden Aloha Nani Hawaiian Nani Country 50/50 Petite Portrait DO FUL</t>
  </si>
  <si>
    <t>TAG Confetti Garden Aloha Nani Hawaiian Nani Hoku Star 50/50 Petite Portrait DO FUL</t>
  </si>
  <si>
    <t>TAG Confetti Garden Nani Hawaiian Nani Hilo 50/50 Petite Portrait DO FUL</t>
  </si>
  <si>
    <t>TAG Confetti Garden Aloha Kona Hawaiian Nouveau 50/50 Petite Portrait DO FUL</t>
  </si>
  <si>
    <t>TAG Confetti Garden Calibrachoa Hawaiian Nani Pixi Stix 50/50 Petite Portrait DO FUL</t>
  </si>
  <si>
    <t>TAG Confetti Calibrachoa Hawaiian Nani Valentine 50/50 Petite Portrait DO FUL</t>
  </si>
  <si>
    <t>TAG Confetti Garden Angelonia Aria 50/50 Petite Portrait DO FUL</t>
  </si>
  <si>
    <t>TAG Confetti Garden Bahia Coconut Coast 50/50 Petite Portrait DO FUL</t>
  </si>
  <si>
    <t>TAG Confetti Garden Bella Water Colours 50/50 Petite Portrait DO FUL</t>
  </si>
  <si>
    <t>TAG Confetti Garden Bella Water Wheel 50/50 Petite Portrait DO FUL</t>
  </si>
  <si>
    <t>TAG Confetti Garden Bella Waterbury 50/50 Petite Portrait DO FUL</t>
  </si>
  <si>
    <t>TAG Confetti Garden Bella Waterfall 50/50 Petite Portrait DO FUL</t>
  </si>
  <si>
    <t>TAG Confetti Garden Bella Waterloo 50/50 Petite Portrait DO FUL</t>
  </si>
  <si>
    <t>TAG Confetti Garden Bella Waterrose 50/50 Petite Portrait DO FUL</t>
  </si>
  <si>
    <t>TAG Confetti Garden Bidy Compact Fleur De Edna 50/50 Petite Portrait DO FUL</t>
  </si>
  <si>
    <t>TAG Confetti Garden Bidy Compact Nightlights 50/50 Petite Portrait DO FUL</t>
  </si>
  <si>
    <t>TAG Confetti Garden Bidy Compact Pineapple Punch 50/50 Petite Portrait DO FUL</t>
  </si>
  <si>
    <t>TAG Confetti Garden Bidy Nightlights 50/50 Petite Portrait DO FUL</t>
  </si>
  <si>
    <t>TAG Confetti Garden Bidy Pineapple Punch 50/50 Petite Portrait DO FUL</t>
  </si>
  <si>
    <t>TAG Confetti Garden Bloomtastic Summer Sunset 50/50 Petite Portrait DO FUL</t>
  </si>
  <si>
    <t>TAG Confetti Garden Calibrachoa Summer Solstice 50/50 Petite Portrait DO FUL</t>
  </si>
  <si>
    <t>TAG Confetti Bloomtastic Sun Meets The Sky 50/50 Petite Portrait DO FUL</t>
  </si>
  <si>
    <t>TAG Confetti Garden Bloomtastic Trio 50/50 Petite Portrait DO FUL</t>
  </si>
  <si>
    <t>TAG Confetti Garden Brady 50/50 Pixie TAG DO FUL</t>
  </si>
  <si>
    <t>TAG Confetti Garden Calibrachoa Creamsicle 50/50 Petite Portrait DO FUL</t>
  </si>
  <si>
    <t>TAG Confetti Garden Calibrachoa Hawaiian Kaihalulu 50/50 Petite Portrait DO FUL</t>
  </si>
  <si>
    <t>TAG Confetti Garden Calibrachoa Hawaiian Orchid 50/50 Petite Portrait DO FUL</t>
  </si>
  <si>
    <t>TAG Confetti Garden Calibrachoa My Bonnie 50/50 Petite Portrait DO FUL</t>
  </si>
  <si>
    <t>TAG Confetti Garden Calibrachoa My Girlie 50/50 Petite Portrait DO FUL</t>
  </si>
  <si>
    <t>TAG Confetti Garden Calibrachoa My Summer 50/50 Petite Portrait DO FUL</t>
  </si>
  <si>
    <t>TAG Confetti Garden Compact Spring Break 50/50 Petite Portrait DO FUL</t>
  </si>
  <si>
    <t>TAG Confetti Garden Cupcake Cupcake Party 2024 50/50 Petite Portrait DO FUL</t>
  </si>
  <si>
    <t>TAG Confetti Garden Cupcake Party 50/50 Petite Portrait DO FUL</t>
  </si>
  <si>
    <t>TAG Confetti Garden Cupcake Cupcake Smarty Party 50/50 Petite Portrait DO FUL</t>
  </si>
  <si>
    <t>TAG Confetti Garden Duo Aaron 50/50 Pixie TAG DO FUL</t>
  </si>
  <si>
    <t>TAG Confetti Garden Duo Bloomtastic Blossoms 50/50 Petite Portrait DO FUL</t>
  </si>
  <si>
    <t>TAG Confetti Garden Duo Petunia Coral Reef 50/50 Petite Portrait DO FUL</t>
  </si>
  <si>
    <t>TAG Confetti Garden Duo Petunia Dancing Jeans 50/50 Petite Portrait DO FUL</t>
  </si>
  <si>
    <t>TAG Confetti Garden Duo Earth And Fire 50/50 Petite Portrait DO FUL</t>
  </si>
  <si>
    <t>TAG Confetti Garden Duo Gemstone 50/50 Petite Portrait DO FUL</t>
  </si>
  <si>
    <t>TAG Confetti Garden Duo Grande Fuchsia 50/50 Petite Portrait DO FUL</t>
  </si>
  <si>
    <t>TAG Confetti Garden Duo Griffey 50/50 Pixie TAG DO FUL</t>
  </si>
  <si>
    <t>TAG Confetti Garden Duo Petunia Marvelous Orchid 50/50 Petite Portrait DO FUL</t>
  </si>
  <si>
    <t>TAG Confetti Garden Duo Pyxis 50/50 Pixie TAG DO FUL</t>
  </si>
  <si>
    <t>TAG Confetti Garden Duo Petunia Stormy Orchid 50/50 Petite Portrait DO FUL</t>
  </si>
  <si>
    <t>TAG Confetti Garden Duo Petunia Sundance 50/50 Petite Portrait DO FUL</t>
  </si>
  <si>
    <t>TAG Confetti Garden Duo Petunia Twist 50/50 Petite Portrait DO FUL</t>
  </si>
  <si>
    <t>TAG Confetti Garden Duo Vela 50/50 Pixie TAG DO FUL</t>
  </si>
  <si>
    <t>TAG Confetti Garden Duo Volans 50/50 Pixie TAG DO FUL</t>
  </si>
  <si>
    <t>TAG Confetti Garden Duo Williams 50/50 Pixie TAG DO FUL</t>
  </si>
  <si>
    <t>TAG Confetti Garden Early Love 50/50 Petite Portrait DO FUL</t>
  </si>
  <si>
    <t>TAG Confetti Garden Elway 50/50 Pixie TAG DO FUL</t>
  </si>
  <si>
    <t>TAG Confetti Garden Empress Liberty 50/50 Petite Portrait DO FUL</t>
  </si>
  <si>
    <t>TAG Confetti Garden Empress Patriot Sun 50/50 Petite Portrait DO FUL</t>
  </si>
  <si>
    <t>TAG Confetti Empress Sun Kiss American Girl 50/50 Petite Portrait DO FUL</t>
  </si>
  <si>
    <t>TAG Confetti Empress Sun Kiss Maple Leaf 50/50 Petite Portrait DO FUL</t>
  </si>
  <si>
    <t>TAG Confetti Garden Endless Love 50/50 Petite Portrait DO FUL</t>
  </si>
  <si>
    <t>TAG Confetti Garden Endurable Beauty 50/50 Petite Portrait DO FUL</t>
  </si>
  <si>
    <t>TAG Confetti Garden Endurable Cerise 50/50 Petite Portrait DO FUL</t>
  </si>
  <si>
    <t>TAG Confetti Garden Endurable Cherry 50/50 Petite Portrait DO FUL</t>
  </si>
  <si>
    <t>TAG Confetti Garden Endurable Lilac 50/50 Petite Portrait DO FUL</t>
  </si>
  <si>
    <t>TAG Confetti Garden Endurable Pink 50/50 Petite Portrait DO FUL</t>
  </si>
  <si>
    <t>TAG Confetti Garden Endurable Rose 50/50 Petite Portrait DO FUL</t>
  </si>
  <si>
    <t>TAG Confetti Garden Evening Safari 50/50 Petite Portrait DO FUL</t>
  </si>
  <si>
    <t>TAG Confetti Garden Eventide Capricorn 50/50 Pixie TAG DO FUL</t>
  </si>
  <si>
    <t>TAG Confetti Garden Fleur De Edna 50/50 Petite Portrait DO FUL</t>
  </si>
  <si>
    <t>TAG Confetti Garden FloraMia Camouflage 50/50 Petite Portrait DO FUL</t>
  </si>
  <si>
    <t>TAG Confetti Garden Tone On Tone Shocking Sunset 50/50 Petite Portrait DO FUL</t>
  </si>
  <si>
    <t>TAG Confetti Garden Glossy Blueberry 50/50 Petite Portrait DO FUL</t>
  </si>
  <si>
    <t>TAG Confetti Garden Glossy Mango 50/50 Petite Portrait DO FUL</t>
  </si>
  <si>
    <t>TAG Confetti Garden Glossy Sunset 50/50 Petite Portrait DO FUL</t>
  </si>
  <si>
    <t>TAG Confetti Garden Glossy Twilight 50/50 Petite Portrait DO FUL</t>
  </si>
  <si>
    <t>TAG Confetti Garden Golden Arches 50/50 Petite Portrait DO FUL</t>
  </si>
  <si>
    <t>TAG Confetti Garden Havana Havana Summer 50/50 Petite Portrait DO FUL</t>
  </si>
  <si>
    <t>TAG Confetti Garden Leo 50/50 Petite Portrait DO FUL</t>
  </si>
  <si>
    <t>TAG Confetti Garden Main Street Trafalgar Square 50/50 Petite Portrait DO FUL</t>
  </si>
  <si>
    <t>TAG Confetti Garden Mantle 50/50 Petite Portrait DO FUL</t>
  </si>
  <si>
    <t>TAG Confetti Garden Marino 50/50 Pixie TAG DO FUL</t>
  </si>
  <si>
    <t>TAG Confetti Garden Mays 50/50 Petite Portrait DO FUL</t>
  </si>
  <si>
    <t>TAG Confetti Garden Montana 50/50 Pixie TAG DO FUL</t>
  </si>
  <si>
    <t>TAG Confetti Garden My Color Clash 50/50 Petite Portrait DO FUL</t>
  </si>
  <si>
    <t>TAG Confetti Garden Orange Blossom 50/50 Petite Portrait DO FUL</t>
  </si>
  <si>
    <t>TAG Confetti Garden Party Oscar 50/50 Petite Portrait DO FUL</t>
  </si>
  <si>
    <t>TAG Confetti Garden Petunia Ruby Slippers 50/50 Petite Portrait DO FUL</t>
  </si>
  <si>
    <t>TAG Confetti Garden Pink Lemonade 50/50 Petite Portrait DO FUL</t>
  </si>
  <si>
    <t>TAG Confetti Garden Pisces 50/50 Petite Portrait DO FUL</t>
  </si>
  <si>
    <t>TAG Confetti Garden Portulaca Cupcake Night 50/50 Petite Portrait DO FUL</t>
  </si>
  <si>
    <t>TAG Confetti Garden Rainbow Bridge 50/50 Petite Portrait DO FUL</t>
  </si>
  <si>
    <t>TAG Confetti Garden Rainbow Fall Fandango 50/50 Petite Portrait DO FUL</t>
  </si>
  <si>
    <t>TAG Confetti Garden Rainbow Sherbet 50/50 Petite Portrait DO FUL</t>
  </si>
  <si>
    <t>TAG Confetti Garden Rainbow Tiger Tail 50/50 Petite Portrait DO FUL</t>
  </si>
  <si>
    <t>TAG Confetti Garden Robinson 50/50 Petite Portrait DO FUL</t>
  </si>
  <si>
    <t>TAG Confetti Garden Ruth 50/50 Petite Portrait DO FUL</t>
  </si>
  <si>
    <t>TAG Confetti Garden Safari Ivory Coast Safari 50/50 Petite Portrait DO FUL</t>
  </si>
  <si>
    <t>TAG Confetti Garden Safari Outback Safari 50/50 Petite Portrait DO FUL</t>
  </si>
  <si>
    <t>TAG Confetti Garden Safari Sahara Safari 50/50 Petite Portrait DO FUL</t>
  </si>
  <si>
    <t>TAG Confetti Garden Safari Spring Safari 50/50 Petite Portrait DO FUL</t>
  </si>
  <si>
    <t>TAG Confetti Garden Safari Still Water Safari 50/50 Petite Portrait DO FUL</t>
  </si>
  <si>
    <t>TAG Confetti Garden Scala Summer Breeze 50/50 Petite Portrait DO FUL</t>
  </si>
  <si>
    <t>TAG Confetti Garden Serengeti 50/50 Petite Portrait DO FUL</t>
  </si>
  <si>
    <t>TAG Confetti Garden Shocking Purple 50/50 Petite Portrait DO FUL</t>
  </si>
  <si>
    <t>TAG Confetti Garden Shocking Star 50/50 Petite Portrait DO FUL</t>
  </si>
  <si>
    <t>TAG Confetti Garden Coleus Solenostemon Great Falls 50/50 Petite Portrait DO FUL</t>
  </si>
  <si>
    <t>TAG Confetti Garden Sparkle Blue 50/50 Petite Portrait DO FUL</t>
  </si>
  <si>
    <t>TAG Confetti Garden Sparkle Magenta 50/50 Petite Portrait DO FUL</t>
  </si>
  <si>
    <t>TAG Confetti Garden Sparkle Purple 50/50 Petite Portrait DO FUL</t>
  </si>
  <si>
    <t>TAG Confetti Garden Sparkle Red 50/50 Petite Portrait DO FUL</t>
  </si>
  <si>
    <t>TAG Confetti Garden Spring Break 50/50 Petite Portrait DO FUL</t>
  </si>
  <si>
    <t>TAG Confetti Garden Starts And Stripes Glory 50/50 Petite Portrait DO FUL</t>
  </si>
  <si>
    <t>TAG Confetti Garden Stars And Stripes Honor 50/50 Petite Portrait DO FUL</t>
  </si>
  <si>
    <t>TAG Confetti Garden Sunset Blues 50/50 Petite Portrait DO FUL</t>
  </si>
  <si>
    <t>TAG Confetti Garden TikTok Clockworks 50/50 Petite Portrait DO FUL</t>
  </si>
  <si>
    <t>TAG Confetti Garden TikTok Star Ship 50/50 Petite Portrait DO FUL</t>
  </si>
  <si>
    <t>TAG Confetti TikTok Strawberry Twist 50/50 Petite Portrait DO FUL</t>
  </si>
  <si>
    <t>TAG Confetti Garden TikTok Time For Change 50/50 Petite Portrait DO FUL</t>
  </si>
  <si>
    <t>TAG Confetti Garden TikTok Time For Fun 50/50 Petite Portrait DO FUL</t>
  </si>
  <si>
    <t>TAG Confetti Garden TikTok Time For Spring 50/50 Petite Portrait DO FUL</t>
  </si>
  <si>
    <t>TAG Confetti Garden TikTok Time For Summer 50/50 Petite Portrait DO FUL</t>
  </si>
  <si>
    <t>TAG Confetti Garden TikTok Time Travel 50/50 Petite Portrait DO FUL</t>
  </si>
  <si>
    <t>TAG Confetti Garden Time After Time 50/50 Petite Portrait DO FUL</t>
  </si>
  <si>
    <t>TAG Confetti Garden Time Flies 50/50 Petite Portrait DO FUL</t>
  </si>
  <si>
    <t>TAG Confetti Garden Time For Blastoff 50/50 Petite Portrait DO FUL</t>
  </si>
  <si>
    <t>TAG Confetti Garden Tone On Tone Bel Air Red 50/50 Petite Portrait DO FUL</t>
  </si>
  <si>
    <t>TAG Confetti Tone Blue Skies 50/50 Petite Portrait DO FUL</t>
  </si>
  <si>
    <t>TAG Confetti Garden Tone On Tone Cherries On Top 50/50 Petite Portrait DO FUL</t>
  </si>
  <si>
    <t>TAG Confetti Garden Tone On Tone Cotton Candy 50/50 Petite Portrait DO FUL</t>
  </si>
  <si>
    <t>TAG Confetti Tone Hello Barbie 50/50 Petite Portrait DO FUL</t>
  </si>
  <si>
    <t>TAG Confetti Garden Tone Lady In Red 50/50 Pixie TAG DO FUL</t>
  </si>
  <si>
    <t>TAG Confetti Garden Tone On Tone Rockin' Red 50/50 Petite Portrait DO FUL</t>
  </si>
  <si>
    <t>TAG Confetti Garden Tone On Tone Shocking Pink 50/50 Petite Portrait DO FUL</t>
  </si>
  <si>
    <t>TAG Confetti Garden Tone On Tone Shocking Rose 50/50 Petite Portrait DO FUL</t>
  </si>
  <si>
    <t>TAG Confetti Garden Tone On Tone Shocking Storm 50/50 Petite Portrait DO FUL</t>
  </si>
  <si>
    <t>TAG Confetti Garden Tone On Tone Sunshine 50/50 Petite Portrait DO FUL</t>
  </si>
  <si>
    <t>TAG Confetti Garden Trio Mix Banana Berry Blend 50/50 Petite Portrait DO FUL</t>
  </si>
  <si>
    <t>TAG Confetti Garden Trio Mix Blue Danube 50/50 Petite Portrait DO FUL</t>
  </si>
  <si>
    <t>TAG Confetti Garden Trio Mix Blue Macaw 50/50 Petite Portrait DO FUL</t>
  </si>
  <si>
    <t>TAG Confetti Garden Trio Mix Blaze Of Glory 50/50 Petite Portrait DO FUL</t>
  </si>
  <si>
    <t>TAG Confetti Garden Trio Mix Bling Cherry 50/50 Petite Portrait DO FUL</t>
  </si>
  <si>
    <t>TAG Confetti Trio Mix Blueberry Parfait 50/50 Petite Portrait DO FUL</t>
  </si>
  <si>
    <t>TAG Confetti Garden Trio Mix Berry Cobbler 50/50 Petite Portrait DO FUL</t>
  </si>
  <si>
    <t>TAG Confetti Garden Trio Mix Bunny Tracks 50/50 Petite Portrait DO FUL</t>
  </si>
  <si>
    <t>TAG Confetti Garden Trio Mix Calypso 50/50 Petite Portrait DO FUL</t>
  </si>
  <si>
    <t>TAG Confetti Garden Trio Mix Campfire 50/50 Petite Portrait DO FUL</t>
  </si>
  <si>
    <t>TAG Confetti Garden Trio Mix Denim Blues 50/50 Petite Portrait DO FUL</t>
  </si>
  <si>
    <t>TAG Confetti Garden Trio Mix Easter Basket 50/50 Petite Portrait DO FUL</t>
  </si>
  <si>
    <t>TAG Confetti Garden Trio Mix Fireflash 50/50 Petite Portrait DO FUL</t>
  </si>
  <si>
    <t>TAG Confetti Garden Trio Mix Hunny Bunny 50/50 Petite Portrait DO FUL</t>
  </si>
  <si>
    <t>TAG Confetti Garden Trio Mix La Salute 50/50 Petite Portrait DO FUL</t>
  </si>
  <si>
    <t>TAG Confetti Trio Mix Lover's Point Beach 50/50 Petite Portrait DO FUL</t>
  </si>
  <si>
    <t>TAG Confetti Garden Trio Mix Magenta Star 50/50 Petite Portrait DO FUL</t>
  </si>
  <si>
    <t>TAG Confetti Garden Trio Mix Marvelous Treasure 50/50 Petite Portrait DO FUL</t>
  </si>
  <si>
    <t>TAG Confetti Garden Trio Mix Material Girl 50/50 Petite Portrait DO FUL</t>
  </si>
  <si>
    <t>TAG Confetti Garden Trio Mix Mountains Majesty 50/50 Petite Portrait DO FUL</t>
  </si>
  <si>
    <t>TAG Confetti Garden Trio Mix Northern Lights 50/50 Petite Portrait DO FUL</t>
  </si>
  <si>
    <t>TAG Confetti Garden Trio Mix Oktoberfest 50/50 Petite Portrait DO FUL</t>
  </si>
  <si>
    <t>TAG Confetti Trio Mix Pacific Witch 50/50 Petite Portrait DO FUL</t>
  </si>
  <si>
    <t>TAG Confetti Garden Trio Mix Patriot 50/50 Petite Portrait DO FUL</t>
  </si>
  <si>
    <t>TAG Confetti Garden Trio Mix Pirate's Beauty 50/50 Petite Portrait DO FUL</t>
  </si>
  <si>
    <t>TAG Confetti Garden Trio Mix Playdate 50/50 Petite Portrait DO FUL</t>
  </si>
  <si>
    <t>TAG Confetti Garden Trio Mix Peppermint Candy 50/50 Petite Portrait DO FUL</t>
  </si>
  <si>
    <t>TAG Confetti Garden Trio Mix Purple Cleopatra 50/50 Petite Portrait DO FUL</t>
  </si>
  <si>
    <t>TAG Confetti Garden Trio Mix Purple Halo Mix 50/50 Petite Portrait DO FUL</t>
  </si>
  <si>
    <t>TAG Confetti Garden Trio Mix Fall Pumpkin Spice 50/50 Petite Portrait DO FUL</t>
  </si>
  <si>
    <t>TAG Confetti Garden Trio Mix Raspberry Tart 50/50 Petite Portrait DO FUL</t>
  </si>
  <si>
    <t>TAG Confetti Garden Trio Mix Rockin' Sunset 50/50 Petite Portrait DO FUL</t>
  </si>
  <si>
    <t>TAG Confetti Garden Trio Mix Season Opener 50/50 Petite Portrait DO FUL</t>
  </si>
  <si>
    <t>TAG Confetti Garden Trio Mix Shocking Blue 50/50 Petite Portrait DO FUL</t>
  </si>
  <si>
    <t>TAG Confetti Garden Trio Mix Shocking Touch 50/50 Petite Portrait DO FUL</t>
  </si>
  <si>
    <t>TAG Confetti Garden Trio Mix Spring Love 50/50 Petite Portrait DO FUL</t>
  </si>
  <si>
    <t>TAG Confetti Garden Trio Mix Super Mom 50/50 Petite Portrait DO FUL</t>
  </si>
  <si>
    <t>TAG Confetti Garden Trio Mix Sunny Skies 50/50 Petite Portrait DO FUL</t>
  </si>
  <si>
    <t>TAG Confetti Garden Trio Mix That's Amore 50/50 Petite Portrait DO FUL</t>
  </si>
  <si>
    <t>TAG Confetti Garden Trio Mix Tropical Sunrise 50/50 Petite Portrait DO FUL</t>
  </si>
  <si>
    <t>TAG Confetti Garden Trio Mix True Love 50/50 Petite Portrait DO FUL</t>
  </si>
  <si>
    <t>TAG Confetti Trio Mix Venice Beach 50/50 Petite Portrait DO FUL</t>
  </si>
  <si>
    <t>TAG Confetti Garden Trio Mix Walk In The Clouds 50/50 Petite Portrait DO FUL</t>
  </si>
  <si>
    <t>TAG Confetti Trio Mix White Wedding 50/50 Petite Portrait DO FUL</t>
  </si>
  <si>
    <t>TAG Confetti Garden Trio Mix Heartland 50/50 Petite Portrait DO FUL</t>
  </si>
  <si>
    <t>TAG Confetti Garden Verbena Royal Charm 50/50 Petite Portrait DO FUL</t>
  </si>
  <si>
    <t>TAG Confetti Garden Chrysanthemum Eventide Virgo 50/50 Petite Portrait DO FUL</t>
  </si>
  <si>
    <t>TAG Confetti Garden Waterlily 50/50 Petite Portrait DO FUL</t>
  </si>
  <si>
    <t>TAG Confetti Garden Yellowstone Old Faithful Buffalo 50/50 Pixie TAG DO FUL</t>
  </si>
  <si>
    <t>TAG Confetti Garden Yellowstone Old Faithful Elk 50/50 Pixie TAG DO FUL</t>
  </si>
  <si>
    <t>TAG Confetti Garden Yellowstone Old Faithful Wolf 50/50 Pixie TAG DO FUL</t>
  </si>
  <si>
    <t>TAG Confetti Garden Yolo Glossy Cherry 50/50 Petite Portrait DO FUL</t>
  </si>
  <si>
    <t>TAG Confetti Garden Yolo Glossy Garden 50/50 Petite Portrait DO FUL</t>
  </si>
  <si>
    <t>TAG Confetti Garden Yolo Glossy Grape 50/50 Petite Portrait DO FUL</t>
  </si>
  <si>
    <t>TAG Confetti Garden Yolo Glossy Strawberry 50/50 Petite Portrait DO FUL</t>
  </si>
  <si>
    <t>TAG Coreopsis Big Bang Cosmic Eye 100/100 Pixie Tag DO FUL</t>
  </si>
  <si>
    <t>TAG Coreopsis Big Bang DO FULl Moon 100/100 Pixie Tag DO FUL</t>
  </si>
  <si>
    <t>TAG Coreopsis Big Bang Mercury Rising 100/100 Pixie Tag DO FUL</t>
  </si>
  <si>
    <t>TAG Coreopsis Big Bang Polaris 100/100 Pixie Tag DO FUL</t>
  </si>
  <si>
    <t>TAG Coreopsis Big Bang Radioactive 100/100 Pixie Tag DO FUL</t>
  </si>
  <si>
    <t>TAG Coreopsis Big Bang Radioactive Limited Availability 50/50 Petite Portrait DO FUL</t>
  </si>
  <si>
    <t>TAG Coreopsis Bloomsation Chameleon 100/100 Pixie Tag DO FUL</t>
  </si>
  <si>
    <t>TAG Coreopsis Bloomsation Dragon 100/100 Pixie Tag DO FUL</t>
  </si>
  <si>
    <t>TAG Coreopsis Fall Sensation Amber 100/100 Pixie Tag DO FUL</t>
  </si>
  <si>
    <t>TAG Coreopsis Fall Sensation Quartz 100/100 Pixie Tag DO FUL</t>
  </si>
  <si>
    <t>TAG Coreopsis Fall Sensation Sandstone 100/100 Pixie Tag DO FUL</t>
  </si>
  <si>
    <t>TAG Coreopsis Fall Sensation Sunny Side 100/100 Pixie Tag DO FUL</t>
  </si>
  <si>
    <t>TAG Coreopsis Fall Sensation Vermillion 100/100 Pixie Tag DO FUL</t>
  </si>
  <si>
    <t>TAG Coreopsis Leading Lady Charlize 100/100 Pixie Tag DO FUL</t>
  </si>
  <si>
    <t>TAG Coreopsis Leading Lady Charlize Limited Availability 50/50 Petite Portrait DO FUL</t>
  </si>
  <si>
    <t>TAG Coreopsis Leading Lady Iron Lady 100/100 Pixie Tag DO FUL</t>
  </si>
  <si>
    <t>TAG Coreopsis Leading Lady Iron Lady 50/50 Petite Portrait DO FUL</t>
  </si>
  <si>
    <t>TAG Coreopsis Leading Lady Lauren 100/100 Pixie Tag DO FUL</t>
  </si>
  <si>
    <t>TAG Coreopsis Leading Lady Sophia 100/100 Pixie Tag DO FUL</t>
  </si>
  <si>
    <t>TAG Coreopsis Leading Lady Sophia 50/50 Petite Portrait DO FUL</t>
  </si>
  <si>
    <t>TAG Coreopsis Li'l Bang Candy Strps 100/100 Pixie Tag DO FUL</t>
  </si>
  <si>
    <t>TAG Coreopsis Li'l Bang Darling Clementine 100/100 Pixie Tag DO FUL</t>
  </si>
  <si>
    <t>TAG Coreopsis Li'l Bang Daybreak 100/100 Pixie Tag DO FUL</t>
  </si>
  <si>
    <t>TAG Coreopsis Li'l Bang Enchanted Eve 100/100 Pixie Tag DO FUL</t>
  </si>
  <si>
    <t>TAG Coreopsis Li'l Bang Red Enchanted Eve 50/50 Petite Portrait DO FUL</t>
  </si>
  <si>
    <t>TAG Coreopsis Li'l Bang Fire Wheel 100/100 Pixie Tag DO FUL</t>
  </si>
  <si>
    <t>TAG Coreopsis Li'l Bang Goldilocks 100/100 Pixie Tag DO FUL</t>
  </si>
  <si>
    <t>TAG Coreopsis Li'l Bang Orange Elf 100/100 Pixie Tag DO FUL</t>
  </si>
  <si>
    <t>TAG Coreopsis Li'l Bang Red Elf 100/100 Pixie Tag DO FUL</t>
  </si>
  <si>
    <t>TAG Coreopsis Li'l Bang Starlight 100/100 Pixie Tag DO FUL</t>
  </si>
  <si>
    <t>TAG Coreopsis Li'l Bang Starstruck 100/100 Pixie Tag DO FUL</t>
  </si>
  <si>
    <t>TAG Coreopsis Limoncello 100/100 Pixie Tag DO FUL</t>
  </si>
  <si>
    <t>TAG Coreopsis Moonbeam 50/50 Petite Portrait DO FUL</t>
  </si>
  <si>
    <t>TAG Coreopsis Moonbeam CN5045 100/100 Pixie Tag DO FUL</t>
  </si>
  <si>
    <t>TAG Coreopsis MoonSwirl 100/100 Pixie Tag DO FUL</t>
  </si>
  <si>
    <t>TAG Coreopsis Nana 100/100 Pixie Tag DO FUL</t>
  </si>
  <si>
    <t>TAG Coreopsis PermaThread Butter Rum 100/100 Pixie Tag DO FUL</t>
  </si>
  <si>
    <t>TAG Coreopsis PermaThread Red Satin 100/100 Pixie Tag DO FUL</t>
  </si>
  <si>
    <t>TAG Coreopsis PermaThread Shades Of Rose 100/100 Pixie Tag DO FUL</t>
  </si>
  <si>
    <t>TAG Coreopsis PermaThread Shades Of Rose 50/50 Petite Portrait DO FUL</t>
  </si>
  <si>
    <t>TAG Coreopsis PermaThread Sweet Tart 100/100 Pixie Tag DO FUL</t>
  </si>
  <si>
    <t>TAG Coreopsis Satin And Lace Berry Chiffon 100/100 Pixie Tag DO FUL</t>
  </si>
  <si>
    <t>TAG Coreopsis Satin And Lace Red Chiffon 100/100 Pixie Tag DO FUL</t>
  </si>
  <si>
    <t>TAG Coreopsis Satin And Lace Red Tapestry 100/100 Pixie Tag DO FUL</t>
  </si>
  <si>
    <t>TAG Coreopsis Sunbright 50/50 Petite Portrait DO FUL</t>
  </si>
  <si>
    <t>TAG Coreopsis SunSwirl 100/100 Pixie Tag DO FUL</t>
  </si>
  <si>
    <t>TAG Coreopsis Zagreb 100/100 Pixie Tag DO FUL</t>
  </si>
  <si>
    <t>TAG Coteyldon Green Ear 100/100 Pixie Tag DO FUL</t>
  </si>
  <si>
    <t>TAG Coteyldon Silver Peak 100/100 Pixie Tag DO FUL</t>
  </si>
  <si>
    <t>TAG Crassula Arborescens 100/100 Pixie Tag DO FUL</t>
  </si>
  <si>
    <t>TAG Crassula Campfire CN2014 100/100 Pixie Tag DO FUL</t>
  </si>
  <si>
    <t>TAG Crassula Cephalophora 100/100 Pixie Tag DO FUL</t>
  </si>
  <si>
    <t>TAG Crassula Corymbulosa 100/100 Pixie Tag DO FUL</t>
  </si>
  <si>
    <t>TAG Crassula Curly Grey 100/100 Pixie Tag DO FUL</t>
  </si>
  <si>
    <t>TAG Crassula Gandalf 100/100 Pixie Tag DO FUL</t>
  </si>
  <si>
    <t>TAG Crassula Horntree 100/100 Pixie Tag DO FUL</t>
  </si>
  <si>
    <t>TAG Crassula Horntree Gollum 100/100 Pixie Tag DO FUL</t>
  </si>
  <si>
    <t>TAG Crassula Horntree Tricolor 100/100 Pixie Tag DO FUL</t>
  </si>
  <si>
    <t>TAG Crassula Justus Corderoy 100/100 Pixie Tag DO FUL</t>
  </si>
  <si>
    <t>TAG Crassula Major 100/100 Pixie Tag DO FUL</t>
  </si>
  <si>
    <t>TAG Crassula Minor 100/100 Pixie Tag DO FUL</t>
  </si>
  <si>
    <t>TAG Crassula Obvallata 100/100 Pixie Tag DO FUL</t>
  </si>
  <si>
    <t>TAG Crassula Ovata 100/100 Pixie Tag DO FUL</t>
  </si>
  <si>
    <t>TAG Crassula Pangolin 100/100 Pixie Tag DO FUL</t>
  </si>
  <si>
    <t>TAG Crassula Perforata 100/100 Pixie Tag DO FUL</t>
  </si>
  <si>
    <t>TAG Crassula Rochea Falcata 100/100 Pixie Tag DO FUL</t>
  </si>
  <si>
    <t>TAG Crassula Sunset CN2026 100/100 Pixie Tag DO FUL</t>
  </si>
  <si>
    <t>TAG Crassula Variegata 100/100 Pixie Tag DO FUL</t>
  </si>
  <si>
    <t>TAG Crossandra Orange 50/50 Petite Portrait DO FUL</t>
  </si>
  <si>
    <t>TAG Crossandra Watermelon 50/50 Petite Portrait DO FUL</t>
  </si>
  <si>
    <t>TAG Cuphea Blackberry Sparkler 50/50 Petite Portrait DO FUL</t>
  </si>
  <si>
    <t>TAG Cuphea FloriGlory Corazon 50/50 Petite Portrait DO FUL</t>
  </si>
  <si>
    <t>TAG Cuphea FloriGlory Diana 50/50 Petite Portrait DO FUL</t>
  </si>
  <si>
    <t>TAG Cuphea FloriGlory Maria 50/50 Petite Portrait DO FUL</t>
  </si>
  <si>
    <t>TAG Cuphea FloriGlory Selena 50/50 Petite Portrait DO FUL</t>
  </si>
  <si>
    <t>TAG Cuphea FloriGlory Sofia 50/50 Petite Portrait DO FUL</t>
  </si>
  <si>
    <t>TAG Cuphea Hummingbird's Lunch 50/50 Petite Portrait DO FUL</t>
  </si>
  <si>
    <t>TAG Cuphea Lavender 50/50 Petite Portrait DO FUL</t>
  </si>
  <si>
    <t>TAG Cuphea Lilac 50/50 Petite Portrait DO FUL</t>
  </si>
  <si>
    <t>TAG Cuphea Lilac CR3520 50/50 Petite Portrait DO FUL</t>
  </si>
  <si>
    <t>TAG Cuphea White 50/50 Petite Portrait DO FUL</t>
  </si>
  <si>
    <t>TAG Dahlia Dahlinova Alabama 50/50 Petite Portrait DO FUL</t>
  </si>
  <si>
    <t>TAG Dahlia Dahlinova California 50/50 Petite Portrait DO FUL</t>
  </si>
  <si>
    <t>TAG Dahlia Dahlinova Carolina 50/50 Petite Portrait DO FUL</t>
  </si>
  <si>
    <t>TAG Dahlia Dahlinova Carolina Orange 50/50 Petite Portrait DO FUL</t>
  </si>
  <si>
    <t>TAG Dahlia Dahlinova Florida 50/50 Petite Portrait DO FUL</t>
  </si>
  <si>
    <t>TAG Dahlia Dahlinova Lisa Burgundy 50/50 Petite Portrait DO FUL</t>
  </si>
  <si>
    <t>TAG Dahlia Dahlinova Lisa Dark Pink 50/50 Petite Portrait DO FUL</t>
  </si>
  <si>
    <t>TAG Dahlia Dahlinova Lisa White D 50/50 Petite Portrait DO FUL</t>
  </si>
  <si>
    <t>TAG Dahlia Dahlinova Montana 50/50 Petite Portrait DO FUL</t>
  </si>
  <si>
    <t>TAG Dahlia Dahlinova New York 50/50 Petite Portrait DO FUL</t>
  </si>
  <si>
    <t>TAG Dahlia Dahlinova Oregon Dahlia 50/50 Petite Portrait DO FUL</t>
  </si>
  <si>
    <t>TAG Dahlia Dahlinova Texas 50/50 Petite Portrait DO FUL</t>
  </si>
  <si>
    <t>TAG Dahlia Dahlinova Temptation Golden 50/50 Petite Portrait DO FUL</t>
  </si>
  <si>
    <t>TAG Dahlia Dahlinova Temptation Lavender 50/50 Petite Portrait DO FUL</t>
  </si>
  <si>
    <t>TAG Dahlia Hypnotica Bronze 50/50 Petite Portrait DO FUL</t>
  </si>
  <si>
    <t>TAG Dahlia Hypnotica Candy Corn 50/50 Petite Portrait DO FUL</t>
  </si>
  <si>
    <t>TAG Dahlia Hypnotica Electric Pink 50/50 Petite Portrait DO FUL</t>
  </si>
  <si>
    <t>TAG Dahlia Hypnotica Gold 50/50 Petite Portrait DO FUL</t>
  </si>
  <si>
    <t>TAG Dahlia Hypnotica Icarus 50/50 Petite Portrait DO FUL</t>
  </si>
  <si>
    <t>TAG Dahlia Hypnotica Lavender 50/50 Petite Portrait DO FUL</t>
  </si>
  <si>
    <t>TAG Dahlia Hypnotica Limonswirl 50/50 Petite Portrait DO FUL</t>
  </si>
  <si>
    <t>TAG Dahlia Hypnotica Orange 50/50 Petite Portrait DO FUL</t>
  </si>
  <si>
    <t>TAG Dahlia Hypnotica Pink 50/50 Petite Portrait DO FUL</t>
  </si>
  <si>
    <t>TAG Dahlia Hypnotica Pink Bicolor 50/50 Petite Portrait DO FUL</t>
  </si>
  <si>
    <t>TAG Dahlia Hypnotica Pink CR5180 50/50 Petite Portrait DO FUL</t>
  </si>
  <si>
    <t>TAG Dahlia Hypnotica Purple Bicolor 50/50 Petite Portrait DO FUL</t>
  </si>
  <si>
    <t>TAG Dahlia Hypnotica Red 50/50 Petite Portrait DO FUL</t>
  </si>
  <si>
    <t>TAG Dahlia Hypnotica Red Velvet 50/50 Petite Portrait DO FUL</t>
  </si>
  <si>
    <t>TAG Dahlia Hypnotica Rose Bicolor 50/50 Petite Portrait DO FUL</t>
  </si>
  <si>
    <t>TAG Dahlia Hypnotica Rose Swirl 50/50 Petite Portrait DO FUL</t>
  </si>
  <si>
    <t>TAG Dahlia Hypnotica Tequila Sunrise 50/50 Petite Portrait DO FUL</t>
  </si>
  <si>
    <t>TAG Dahlia Hypnotica Tropical Breeze 50/50 Petite Portrait DO FUL</t>
  </si>
  <si>
    <t>TAG Dahlia Hypnotica White 50/50 Petite Portrait DO FUL</t>
  </si>
  <si>
    <t>TAG Dahlia Hypnotica Yellow 50/50 Petite Portrait DO FUL</t>
  </si>
  <si>
    <t>TAG Dahlia MegaBoom Berry Blast 50/50 Petite Portrait DO FUL</t>
  </si>
  <si>
    <t>TAG Dahlia MegaBoom Fire 50/50 Petite Portrait DO FUL</t>
  </si>
  <si>
    <t>TAG Dahlia MegaBoom Orange Crush 50/50 Petite Portrait DO FUL</t>
  </si>
  <si>
    <t>TAG Dahlia MegaBoom Passion Fruit 50/50 Petite Portrait DO FUL</t>
  </si>
  <si>
    <t>TAG Dahlia MegaBoom Pink Lemonade 50/50 Petite Portrait DO FUL</t>
  </si>
  <si>
    <t>TAG Dahlia MegaBoom Raspberry Ice 50/50 Petite Portrait DO FUL</t>
  </si>
  <si>
    <t>TAG Dahlia Mystic Dreamer 50/50 Petite Portrait DO FUL</t>
  </si>
  <si>
    <t>TAG Dahlia Mystic Enchantment 50/50 Petite Portrait DO FUL</t>
  </si>
  <si>
    <t>TAG Dahlia Mystic Haze 50/50 Petite Portrait DO FUL</t>
  </si>
  <si>
    <t>TAG Dahlia Mystic Illusion 50/50 Petite Portrait DO FUL</t>
  </si>
  <si>
    <t>TAG Dahlia Mystic Sparkler 50/50 Petite Portrait DO FUL</t>
  </si>
  <si>
    <t>TAG Dahlia Mystic Wonder 50/50 Petite Portrait DO FUL</t>
  </si>
  <si>
    <t>TAG Dahlia Novation Hot Pink 50/50 Petite Portrait DO FUL</t>
  </si>
  <si>
    <t>TAG Dahlia Novation Orange Bicolor 50/50 Petite Portrait DO FUL</t>
  </si>
  <si>
    <t>TAG Dahlia Novation Pink Bicolor 50/50 Petite Portrait DO FUL</t>
  </si>
  <si>
    <t>TAG Dahlia Novation Pumpkin Sipce 24 50/50 Pixie TAG DO FUL</t>
  </si>
  <si>
    <t>TAG Dahlia Novation Red 50/50 Petite Portrait DO FUL</t>
  </si>
  <si>
    <t>TAG Dahlia Novation Ruby 50/50 Petite Portrait DO FUL</t>
  </si>
  <si>
    <t>TAG Dahlia Novation Salmon 50/50 Petite Portrait DO FUL</t>
  </si>
  <si>
    <t>TAG Dahlia Novation White 50/50 Petite Portrait DO FUL</t>
  </si>
  <si>
    <t>TAG Dahlia Novation Yellow 50/50 Petite Portrait DO FUL</t>
  </si>
  <si>
    <t>TAG Dahlia Revelation Pink 50/50 Petite Portrait DO FUL</t>
  </si>
  <si>
    <t>TAG Dahlia Revelation Red 50/50 Petite Portrait DO FUL</t>
  </si>
  <si>
    <t>TAG Dahlia Revelation Salmon Bicolor 50/50 Petite Portrait DO FUL</t>
  </si>
  <si>
    <t>TAG Dahlia Revelation Soft Orange 50/50 Petite Portrait DO FUL</t>
  </si>
  <si>
    <t>TAG Dahlia Revelation Yellow 50/50 Petite Portrait DO FUL</t>
  </si>
  <si>
    <t>TAG Dahlia Starsister Crimson Picotee 50/50 Petite Portrait DO FUL</t>
  </si>
  <si>
    <t>TAG Dahlia Starsister Flamed Rose 50/50 Petite Portrait DO FUL</t>
  </si>
  <si>
    <t>TAG Dahlia Starsister Pink Picotee 50/50 Petite Portrait DO FUL</t>
  </si>
  <si>
    <t>TAG Dahlia Starsister Purple Stripes 50/50 Petite Portrait DO FUL</t>
  </si>
  <si>
    <t>TAG Dahlia Starsister Red/White 50/50 Petite Portrait DO FUL</t>
  </si>
  <si>
    <t>TAG Dahlia Starsister Rose/White 50/50 Petite Portrait DO FUL</t>
  </si>
  <si>
    <t>TAG Dahlia Starsister Scarlet/Yellow 50/50 Petite Portrait DO FUL</t>
  </si>
  <si>
    <t>TAG Dahlia Starsister Yellow Daffodil 50/50 Petite Portrait DO FUL</t>
  </si>
  <si>
    <t>TAG Dahlia Starsister Yellow Stripes 50/50 Petite Portrait DO FUL</t>
  </si>
  <si>
    <t>TAG Dahlia Temptation Orange 50/50 Petite Portrait DO FUL</t>
  </si>
  <si>
    <t>TAG Dahlia Temptation Pink Bicolor 50/50 Petite Portrait DO FUL</t>
  </si>
  <si>
    <t>TAG Dahlia Temptation Purple 50/50 Petite Portrait DO FUL</t>
  </si>
  <si>
    <t>TAG Dahlia Temptation Red 50/50 Petite Portrait DO FUL</t>
  </si>
  <si>
    <t>TAG Dahlia Temptation Red Violet 50/50 Petite Portrait DO FUL</t>
  </si>
  <si>
    <t>TAG Dahlia Temptation Yellow 50/50 Petite Portrait DO FUL</t>
  </si>
  <si>
    <t>TAG Dahlia XXL Alamos 50/50 Petite Portrait DO FUL</t>
  </si>
  <si>
    <t>TAG Dahlia XXL Baja Sol 50/50 Petite Portrait DO FUL</t>
  </si>
  <si>
    <t>TAG Dahlia XXL Cancun 50/50 Petite Portrait DO FUL</t>
  </si>
  <si>
    <t>TAG Dahlia XXL Celaya 50/50 Petite Portrait DO FUL</t>
  </si>
  <si>
    <t>TAG Dahlia XXL Chiapas 50/50 Petite Portrait DO FUL</t>
  </si>
  <si>
    <t>TAG Dahlia XXL Cozumel 50/50 Petite Portrait DO FUL</t>
  </si>
  <si>
    <t>TAG Dahlia XXL Durango 50/50 Petite Portrait DO FUL</t>
  </si>
  <si>
    <t>TAG Dahlia XXL Ensenada 50/50 Petite Portrait DO FUL</t>
  </si>
  <si>
    <t>TAG Dahlia XXL Grand Prismatic 50/50 Petite Portrait DO FUL</t>
  </si>
  <si>
    <t>TAG Dahlia XXL Hidalgo 50/50 Petite Portrait DO FUL</t>
  </si>
  <si>
    <t>TAG Dahlia XXL Juarez 50/50 Petite Portrait DO FUL</t>
  </si>
  <si>
    <t>TAG Dahlia XXL Mayo 50/50 Petite Portrait DO FUL</t>
  </si>
  <si>
    <t>TAG Dahlia XXL Merida 50/50 Petite Portrait DO FUL</t>
  </si>
  <si>
    <t>TAG Dahlia XXL Paraiso 50/50 Petite Portrait DO FUL</t>
  </si>
  <si>
    <t>TAG Dahlia XXL Sunrise 50/50 Petite Portrait DO FUL</t>
  </si>
  <si>
    <t>TAG Dahlia XXL Sunset 50/50 Petite Portrait DO FUL</t>
  </si>
  <si>
    <t>TAG Dahlia XXL Tabasco 50/50 Petite Portrait DO FUL</t>
  </si>
  <si>
    <t>TAG Dahlia XXL Taxco Dahlia 50/50 Petite Portrait DO FUL</t>
  </si>
  <si>
    <t>TAG Dahlia XXL Vallarta 50/50 Petite Portrait DO FUL</t>
  </si>
  <si>
    <t>TAG Dahlia XXL Veracruz 50/50 Petite Portrait DO FUL</t>
  </si>
  <si>
    <t>TAG Delosperma Cooperi 100/100 Pixie Tag DO FUL</t>
  </si>
  <si>
    <t>TAG Delosperma Jewel Of Desert Amthyst 100/100 Pixie Tag DO FUL</t>
  </si>
  <si>
    <t>TAG Delosperma Jewel Of Desert Candystone 100/100 Pixie Tag DO FUL</t>
  </si>
  <si>
    <t>TAG Delosperma Jewel Of Desert Garnet 100/100 Pixie Tag DO FUL</t>
  </si>
  <si>
    <t>TAG Delosperma Jewel Of Desert Grenade 100/100 Pixie Tag DO FUL</t>
  </si>
  <si>
    <t>TAG Delosperma Jewel Of Desert Moonstone 100/100 Pixie Tag DO FUL</t>
  </si>
  <si>
    <t>TAG Delosperma Jewel Of Desert Opal 100/100 Pixie Tag DO FUL</t>
  </si>
  <si>
    <t>TAG Delosperma Jewel Of Desert Peridot 100/100 Pixie Tag DO FUL</t>
  </si>
  <si>
    <t>TAG Delosperma Jewel Of Desert Rosequartz 100/100 Pixie Tag DO FUL</t>
  </si>
  <si>
    <t>TAG Delosperma Jewel Of Desert Ruby 100/100 Pixie Tag DO FUL</t>
  </si>
  <si>
    <t>TAG Delosperma Jewel Of Desert Sunstone 100/100 Pixie Tag DO FUL</t>
  </si>
  <si>
    <t>TAG Delosperma Jewel Of Desert Topaz 100/100 Pixie Tag DO FUL</t>
  </si>
  <si>
    <t>TAG Delosperma Rock Crystal Candy Red 100/100 Pixie Tag DO FUL</t>
  </si>
  <si>
    <t>TAG Delosperma Rock Crystal Magenta Pop 100/100 Pixie Tag DO FUL</t>
  </si>
  <si>
    <t>TAG Delosperma Rock Crystal Neon Orange 100/100 Pixie Tag DO FUL</t>
  </si>
  <si>
    <t>TAG Delosperma Rock Crystal Neon Red 100/100 Pixie Tag DO FUL</t>
  </si>
  <si>
    <t>TAG Delosperma Rock Crystal Pink 100/100 Pixie Tag DO FUL</t>
  </si>
  <si>
    <t>TAG Delosperma Rock Crystal Purple 100/100 Pixie Tag DO FUL</t>
  </si>
  <si>
    <t>TAG Delosperma Rock Crystal Red 100/100 Pixie Tag DO FUL</t>
  </si>
  <si>
    <t>TAG Delosperma Rock Crystal White 100/100 Pixie Tag DO FUL</t>
  </si>
  <si>
    <t>TAG Delosperma Rock Crystal Yellow 100/100 Pixie Tag DO FUL</t>
  </si>
  <si>
    <t>TAG Delosperma Solstice Orange 100/100 Pixie Tag DO FUL</t>
  </si>
  <si>
    <t>TAG Delosperma Solstice Pink 100/100 Pixie Tag DO FUL</t>
  </si>
  <si>
    <t>TAG Delosperma Solstice Purple 100/100 Pixie Tag DO FUL</t>
  </si>
  <si>
    <t>TAG Delosperma Solstice Purple Bicolor 100/100 Pixie Tag DO FUL</t>
  </si>
  <si>
    <t>TAG Delosperma Solstice Red 100/100 Pixie Tag DO FUL</t>
  </si>
  <si>
    <t>TAG Delosperma Solstice Rose 50/50 Petite Portrait DO FUL</t>
  </si>
  <si>
    <t>TAG Delosperma Solstice Scarlet Red 100/100 Pixie Tag DO FUL</t>
  </si>
  <si>
    <t>TAG Delosperma Solstice Yellow 100/100 Pixie Tag DO FUL</t>
  </si>
  <si>
    <t>TAG Delosperma Wheels Of Wonder Fire 100/100 Pixie Tag DO FUL</t>
  </si>
  <si>
    <t>TAG Delosperma Wheels Of Wonder Golden Wonder 100/100 Pixie Tag DO FUL</t>
  </si>
  <si>
    <t>TAG Delosperma Wheels Of Wonder Hot Orange 100/100 Pixie Tag DO FUL</t>
  </si>
  <si>
    <t>TAG Delosperma Wheels Of Wonder Hot Pink 100/100 Pixie Tag DO FUL</t>
  </si>
  <si>
    <t>TAG Delosperma Wheels Of Wonder Hot Red 100/100 Pixie Tag DO FUL</t>
  </si>
  <si>
    <t>TAG Delosperma Wheels Of Wonder Limoncello 100/100 Pixie Tag DO FUL</t>
  </si>
  <si>
    <t>TAG Delosperma Wheels Of Wonder Orange 100/100 Pixie Tag DO FUL</t>
  </si>
  <si>
    <t>TAG Delosperma Wheels Of Wonder Purple 100/100 Pixie Tag DO FUL</t>
  </si>
  <si>
    <t>TAG Delosperma Wheels Of Wonder Salmony 100/100 Pixie Tag DO FUL</t>
  </si>
  <si>
    <t>TAG Delosperma Wheels Of Wonder Violet 100/100 Pixie Tag DO FUL</t>
  </si>
  <si>
    <t>TAG Delosperma Wheels Of Wonder White Limited Availability 100/100 Pixie Tag DO FUL</t>
  </si>
  <si>
    <t>TAG Dianthus Arabella Pink 100/100 Pixie Tag DO FUL</t>
  </si>
  <si>
    <t>TAG Dianthus Arabella Purple 100/100 Pixie Tag DO FUL</t>
  </si>
  <si>
    <t>TAG Dianthus Arabella White 100/100 Pixie Tag DO FUL</t>
  </si>
  <si>
    <t>TAG Dianthus Bacco 100/100 Pixie Tag DO FUL</t>
  </si>
  <si>
    <t>TAG Dianthus Beauties Annabelle 100/100 Pixie Tag DO FUL</t>
  </si>
  <si>
    <t>TAG Dianthus Beauties Freya 100/100 Pixie Tag DO FUL</t>
  </si>
  <si>
    <t>TAG Dianthus Beauties Gisele 50/50 Petite Portrait DO FUL</t>
  </si>
  <si>
    <t>TAG Dianthus Beauties Kahori 100/100 Pixie Tag DO FUL</t>
  </si>
  <si>
    <t>TAG Dianthus Beauties Kahori Pink 100/100 Pixie Tag DO FUL</t>
  </si>
  <si>
    <t>TAG Dianthus Beauties Kahori Pink 50/50 Petite Portrait DO FUL</t>
  </si>
  <si>
    <t>TAG Dianthus Beauties Kahori Scarlet 100/100 Pixie Tag DO FUL</t>
  </si>
  <si>
    <t>TAG Dianthus Beauties Kaia 100/100 Pixie Tag DO FUL</t>
  </si>
  <si>
    <t>TAG Dianthus Beauties Kate 100/100 Pixie Tag DO FUL</t>
  </si>
  <si>
    <t>TAG Dianthus Beauties Melinda 100/100 Pixie Tag DO FUL</t>
  </si>
  <si>
    <t>TAG Dianthus Beauties Rebecca 100/100 Pixie Tag DO FUL</t>
  </si>
  <si>
    <t>TAG Dianthus Beauties Rousey 100/100 Pixie Tag DO FUL</t>
  </si>
  <si>
    <t>TAG Dianthus Beauties Sasha 50/50 Petite Portrait DO FUL</t>
  </si>
  <si>
    <t>TAG Dianthus Beauties Sherise 100/100 Pixie Tag DO FUL</t>
  </si>
  <si>
    <t>TAG Dianthus Beauties Tiiu 100/100 Pixie Tag DO FUL</t>
  </si>
  <si>
    <t>TAG Dianthus Beauties Tyra 100/100 Pixie Tag DO FUL</t>
  </si>
  <si>
    <t>TAG Dianthus Beauties Vida 100/100 Pixie Tag DO FUL</t>
  </si>
  <si>
    <t>TAG Dianthus Beauties Yfke 50/50 Petite Portrait DO FUL</t>
  </si>
  <si>
    <t>TAG Dianthus Cliff Pink 100/100 Pixie Tag DO FUL</t>
  </si>
  <si>
    <t>TAG Dianthus Cliff Purple 100/100 Pixie Tag DO FUL</t>
  </si>
  <si>
    <t>TAG Dianthus Cliff Red 100/100 Pixie Tag DO FUL</t>
  </si>
  <si>
    <t>TAG Dianthus Mad Magenta 100/100 Pixie Tag DO FUL</t>
  </si>
  <si>
    <t>TAG Dianthus Odessa Amy 100/100 Pixie Tag DO FUL</t>
  </si>
  <si>
    <t>TAG Dianthus Odessa Amy Limited Availability 50/50 Petite Portrait DO FUL</t>
  </si>
  <si>
    <t>TAG Dianthus Odessa Bling Bling 100/100 Pixie Tag DO FUL</t>
  </si>
  <si>
    <t>TAG Dianthus Odessa Cerise Bling Bling 100/100 Pixie Tag DO FUL</t>
  </si>
  <si>
    <t>TAG Dianthus Odessa Early Pink 50/50 Petite Portrait DO FUL</t>
  </si>
  <si>
    <t>TAG Dianthus Odessa Joelle 50/50 Petite Portrait DO FUL</t>
  </si>
  <si>
    <t>TAG Dianthus Odessa Nicky 100/100 Pixie Tag DO FUL</t>
  </si>
  <si>
    <t>TAG Dianthus Odessa Nicky Limited Availability 50/50 Petite Portrait DO FUL</t>
  </si>
  <si>
    <t>TAG Dianthus Odessa Orange Bling Bling 100/100 Pixie Tag DO FUL</t>
  </si>
  <si>
    <t>TAG Dianthus Odessa Orange Bling Bling 50/50 Petite Portrait DO FUL</t>
  </si>
  <si>
    <t>TAG Dianthus Odessa Pierrot 100/100 Pixie Tag DO FUL</t>
  </si>
  <si>
    <t>TAG Dianthus Odessa Pure 100/100 Pixie Tag DO FUL</t>
  </si>
  <si>
    <t>TAG Dianthus Odessa Red 100/100 Pixie Tag DO FUL</t>
  </si>
  <si>
    <t>TAG Dianthus Odessa Twiggy 100/100 Pixie Tag DO FUL</t>
  </si>
  <si>
    <t>TAG Dianthus Odessa Yellow Bling Bling 100/100 Pixie Tag DO FUL</t>
  </si>
  <si>
    <t>TAG Dianthus Olivia Bella 100/100 Pixie Tag DO FUL</t>
  </si>
  <si>
    <t>TAG Dianthus Olivia Cherry 100/100 Pixie Tag DO FUL</t>
  </si>
  <si>
    <t>TAG Dianthus Olivia Sweet 100/100 Pixie Tag DO FUL</t>
  </si>
  <si>
    <t>TAG Dianthus Olivia Wild 100/100 Pixie Tag DO FUL</t>
  </si>
  <si>
    <t>TAG Dianthus Olivia Wild Limited Availability 50/50 Petite Portrait DO FUL</t>
  </si>
  <si>
    <t>TAG Dianthus Peman 100/100 Pixie Tag DO FUL</t>
  </si>
  <si>
    <t>TAG Dianthus Peman Fancy Cerise 100/100 Pixie Tag DO FUL</t>
  </si>
  <si>
    <t>TAG Dianthus Peman Fancy Lilac 100/100 Pixie Tag DO FUL</t>
  </si>
  <si>
    <t>TAG Dianthus Peman Red 100/100 Pixie Tag DO FUL</t>
  </si>
  <si>
    <t>TAG Dianthus Peman Violet 100/100 Pixie Tag DO FUL</t>
  </si>
  <si>
    <t>TAG Dianthus Rock Candy 100/100 Pixie Tag DO FUL</t>
  </si>
  <si>
    <t>TAG Dianthus Rock Compact 100/100 Pixie Tag DO FUL</t>
  </si>
  <si>
    <t>TAG Dianthus Rock Purple 100/100 Pixie Tag DO FUL</t>
  </si>
  <si>
    <t>TAG Dianthus Rock Ruby 100/100 Pixie Tag DO FUL</t>
  </si>
  <si>
    <t>TAG Dianthus Rock Violet 100/100 Pixie Tag DO FUL</t>
  </si>
  <si>
    <t>TAG Dianthus Rock White 100/100 Pixie Tag DO FUL</t>
  </si>
  <si>
    <t>TAG Dianthus Sprint Angie 100/100 Pixie Tag DO FUL</t>
  </si>
  <si>
    <t>TAG Dianthus Sprint Bordeaux 100/100 Pixie Tag DO FUL</t>
  </si>
  <si>
    <t>TAG Dianthus Sprint Bright Red 100/100 Pixie Tag DO FUL</t>
  </si>
  <si>
    <t>TAG Dianthus Sprint Dark Pink 100/100 Pixie Tag DO FUL</t>
  </si>
  <si>
    <t>TAG Dianthus Sprint Dark Red 100/100 Pixie Tag DO FUL</t>
  </si>
  <si>
    <t>TAG Dianthus Sprint Fancy Purple 100/100 Pixie Tag DO FUL</t>
  </si>
  <si>
    <t>TAG Dianthus Sprint Pink 100/100 Pixie Tag DO FUL</t>
  </si>
  <si>
    <t>TAG Dianthus Sprint Pink Shades 100/100 Pixie Tag DO FUL</t>
  </si>
  <si>
    <t>TAG Dianthus Sprint Pink And Polished 50/50 Petite Portrait DO FUL</t>
  </si>
  <si>
    <t>TAG Dianthus Sprint Salmon 100/100 Pixie Tag DO FUL</t>
  </si>
  <si>
    <t>TAG Dianthus Sprint White 100/100 Pixie Tag DO FUL</t>
  </si>
  <si>
    <t>TAG Dianthus Sunflor Allura 100/100 Pixie Tag DO FUL</t>
  </si>
  <si>
    <t>TAG Dianthus Sunflor Allura Red 100/100 Pixie Tag DO FUL</t>
  </si>
  <si>
    <t>TAG Dianthus Sunflor Amber 100/100 Pixie Tag DO FUL</t>
  </si>
  <si>
    <t>TAG Dianthus Sunflor Beetle 50/50 Petite Portrait DO FUL</t>
  </si>
  <si>
    <t>TAG Dianthus Sunflor Bowie 100/100 Pixie Tag DO FUL</t>
  </si>
  <si>
    <t>TAG Dianthus Sunflor Charmy 100/100 Pixie Tag DO FUL</t>
  </si>
  <si>
    <t>TAG Dianthus Sunflor Cody 100/100 Pixie Tag DO FUL</t>
  </si>
  <si>
    <t>TAG Dianthus Sunflor Cosmos 100/100 Pixie Tag DO FUL</t>
  </si>
  <si>
    <t>TAG Dianthus Sunflor Cosmos Limited Availability 50/50 Petite Portrait DO FUL</t>
  </si>
  <si>
    <t>TAG Dianthus Sunflor Dynamite 100/100 Pixie Tag DO FUL</t>
  </si>
  <si>
    <t>TAG Dianthus Sunflor Esta 100/100 Pixie Tag DO FUL</t>
  </si>
  <si>
    <t>TAG Dianthus Sunflor Faganza 100/100 Pixie Tag DO FUL</t>
  </si>
  <si>
    <t>TAG Dianthus Sunflor Finesse 100/100 Pixie Tag DO FUL</t>
  </si>
  <si>
    <t>TAG Dianthus Sunflor Hailey 100/100 Pixie Tag DO FUL</t>
  </si>
  <si>
    <t>TAG Dianthus Sunflor Harper 100/100 Pixie Tag DO FUL</t>
  </si>
  <si>
    <t>TAG Dianthus Sunflor Kaylee 100/100 Pixie Tag DO FUL</t>
  </si>
  <si>
    <t>TAG Dianthus Sunflor Kaylee 50/50 Petite Portrait DO FUL</t>
  </si>
  <si>
    <t>TAG Dianthus Sunflor Lady Beetle 100/100 Pixie Tag DO FUL</t>
  </si>
  <si>
    <t>TAG Dianthus Sunflor Lilac Charmy 50/50 Petite Portrait DO FUL</t>
  </si>
  <si>
    <t>TAG Dianthus Sunflor Luigi 100/100 Pixie Tag DO FUL</t>
  </si>
  <si>
    <t>TAG Dianthus Sunflor Luigi Limited Availability 50/50 Petite Portrait DO FUL</t>
  </si>
  <si>
    <t>TAG Dianthus Sunflor Margarita 50/50 Petite Portrait DO FUL</t>
  </si>
  <si>
    <t>TAG Dianthus Sunflor Megan 50/50 Petite Portrait DO FUL</t>
  </si>
  <si>
    <t>TAG Dianthus Sunflor Mimi 100/100 Pixie Tag DO FUL</t>
  </si>
  <si>
    <t>TAG Dianthus Sunflor Norah 50/50 Petite Portrait DO FUL</t>
  </si>
  <si>
    <t>TAG Dianthus Sunflor Paige 100/100 Pixie Tag DO FUL</t>
  </si>
  <si>
    <t>TAG Dianthus Sunflor Pink Faganza Limited Availability 50/50 Petite Portrait DO FUL</t>
  </si>
  <si>
    <t>TAG Dianthus Sunflor Red Bull 50/50 Petite Portrait DO FUL</t>
  </si>
  <si>
    <t>TAG Dianthus Sunflor Red Esta 100/100 Pixie Tag DO FUL</t>
  </si>
  <si>
    <t>TAG Dianthus Sunflor Riley 100/100 Pixie Tag DO FUL</t>
  </si>
  <si>
    <t>TAG Dianthus Sunflor Sasha 50/50 Petite Portrait DO FUL</t>
  </si>
  <si>
    <t>TAG Dianthus Sunflor Sinclair 100/100 Pixie Tag DO FUL</t>
  </si>
  <si>
    <t>TAG Dianthus Sunflor Skylar 100/100 Pixie Tag DO FUL</t>
  </si>
  <si>
    <t>TAG Dianthus Sunflor Sofia 100/100 Pixie Tag DO FUL</t>
  </si>
  <si>
    <t>TAG Dianthus Sunflor Vivre 100/100 Pixie Tag DO FUL</t>
  </si>
  <si>
    <t>TAG Dianthus Sunflor Vulcano 100/100 Pixie Tag DO FUL</t>
  </si>
  <si>
    <t>TAG Dianthus Sweety Pink 100/100 Pixie Tag DO FUL</t>
  </si>
  <si>
    <t>TAG Dianthus Sweety Purple 100/100 Pixie Tag DO FUL</t>
  </si>
  <si>
    <t>TAG Diascia My Darling Berry 50/50 Petite Portrait DO FUL</t>
  </si>
  <si>
    <t>TAG Diascia My Darling Peach 50/50 Petite Portrait DO FUL</t>
  </si>
  <si>
    <t>TAG Diascia My Darling Tangerine 50/50 Petite Portrait DO FUL</t>
  </si>
  <si>
    <t>TAG Diascia My Darling White 50/50 Petite Portrait DO FUL</t>
  </si>
  <si>
    <t>TAG Digiplexis Berry Canary 100/100 Pixie Tag DO FUL</t>
  </si>
  <si>
    <t>TAG Digiplexis Illumination Flame 100/100 Pixie Tag DO FUL</t>
  </si>
  <si>
    <t>TAG Dipladenia Flordenia Dark Red 50/50 Petite Portrait DO FUL</t>
  </si>
  <si>
    <t>TAG Dipladenia Flordenia Pink 50/50 Petite Portrait DO FUL</t>
  </si>
  <si>
    <t>TAG Dipladenia Flordenia Red Velvet 50/50 Petite Portrait DO FUL</t>
  </si>
  <si>
    <t>TAG Dipladenia Flordenia Rose 50/50 Petite Portrait DO FUL</t>
  </si>
  <si>
    <t>TAG Dipladenia Flordenia Summer Red 50/50 Petite Portrait DO FUL</t>
  </si>
  <si>
    <t>TAG Duranta Aurea Golden 50/50 Petite Portrait DO FUL</t>
  </si>
  <si>
    <t>TAG Echeveria Affinis 100/100 Pixie Tag DO FUL</t>
  </si>
  <si>
    <t>TAG Echeveria Afterglow 100/100 Pixie Tag DO FUL</t>
  </si>
  <si>
    <t>TAG Echeveria Agavoides 100/100 Pixie Tag DO FUL</t>
  </si>
  <si>
    <t>TAG Echeveria Amoena 100/100 Pixie Tag DO FUL</t>
  </si>
  <si>
    <t>TAG Echeveria Apus 100/100 Pixie Tag DO FUL</t>
  </si>
  <si>
    <t>TAG Echeveria Asteroid 100/100 Pixie Tag DO FUL</t>
  </si>
  <si>
    <t>TAG Echeveria Atomic 100/100 Pixie Tag DO FUL</t>
  </si>
  <si>
    <t>TAG Echeveria Benitsukasa 100/100 Pixie Tag DO FUL</t>
  </si>
  <si>
    <t>TAG Echeveria Black Prince 100/100 Pixie Tag DO FUL</t>
  </si>
  <si>
    <t>TAG Echeveria Blue Bird 100/100 Pixie Tag DO FUL</t>
  </si>
  <si>
    <t>TAG Echeveria Blue Prince 100/100 Pixie Tag DO FUL</t>
  </si>
  <si>
    <t>TAG Echeveria Brown Rose 100/100 Pixie Tag DO FUL</t>
  </si>
  <si>
    <t>TAG Echeveria Burgundy Pearl 100/100 Pixie Tag DO FUL</t>
  </si>
  <si>
    <t>TAG Echeveria Canadian 100/100 Pixie Tag DO FUL</t>
  </si>
  <si>
    <t>TAG Echeveria Crenulata 100/100 Pixie Tag DO FUL</t>
  </si>
  <si>
    <t>TAG Echeveria Dark Purple 100/100 Pixie Tag DO FUL</t>
  </si>
  <si>
    <t>TAG Echeveria Dark Red 100/100 Pixie Tag DO FUL</t>
  </si>
  <si>
    <t>TAG Echeveria Difractens 100/100 Pixie Tag DO FUL</t>
  </si>
  <si>
    <t>TAG Echeveria Domingo 100/100 Pixie Tag DO FUL</t>
  </si>
  <si>
    <t>TAG Echeveria Ebony 100/100 Pixie Tag DO FUL</t>
  </si>
  <si>
    <t>TAG Echeveria Echoc 100/100 Pixie Tag DO FUL</t>
  </si>
  <si>
    <t>TAG Echeveria Elegans 100/100 Pixie Tag DO FUL</t>
  </si>
  <si>
    <t>TAG Echeveria Elegans Blue 100/100 Pixie Tag DO FUL</t>
  </si>
  <si>
    <t>TAG Echeveria Fabiola 100/100 Pixie Tag DO FUL</t>
  </si>
  <si>
    <t>TAG Echeveria First Lady 100/100 Pixie Tag DO FUL</t>
  </si>
  <si>
    <t>TAG Echeveria Frosty 100/100 Pixie Tag DO FUL</t>
  </si>
  <si>
    <t>TAG Echeveria Giant Blue 100/100 Pixie Tag DO FUL</t>
  </si>
  <si>
    <t>TAG Echeveria Gilva 100/100 Pixie Tag DO FUL</t>
  </si>
  <si>
    <t>TAG Echeveria Gliva CN2086 100/100 Pixie Tag DO FUL</t>
  </si>
  <si>
    <t>TAG Echeveria Globulosa 100/100 Pixie Tag DO FUL</t>
  </si>
  <si>
    <t>TAG Echeveria Green Delight 100/100 Pixie Tag DO FUL</t>
  </si>
  <si>
    <t>TAG Echeveria Green Pacific 100/100 Pixie Tag DO FUL</t>
  </si>
  <si>
    <t>TAG Echeveria Green Pearl 100/100 Pixie Tag DO FUL</t>
  </si>
  <si>
    <t>TAG Echeveria Hercules 100/100 Pixie Tag DO FUL</t>
  </si>
  <si>
    <t>TAG Echeveria Holly Gate 100/100 Pixie Tag DO FUL</t>
  </si>
  <si>
    <t>TAG Echeveria Imbricata Green 100/100 Pixie Tag DO FUL</t>
  </si>
  <si>
    <t>TAG Echeveria Lemaire 100/100 Pixie Tag DO FUL</t>
  </si>
  <si>
    <t>TAG Echeveria Lilacina 100/100 Pixie Tag DO FUL</t>
  </si>
  <si>
    <t>TAG Echeveria Lola 100/100 Pixie Tag DO FUL</t>
  </si>
  <si>
    <t>TAG Echeveria Mamba 100/100 Pixie Tag DO FUL</t>
  </si>
  <si>
    <t>TAG Echeveria Mensa 100/100 Pixie Tag DO FUL</t>
  </si>
  <si>
    <t>TAG Echeveria Mexicana 100/100 Pixie Tag DO FUL</t>
  </si>
  <si>
    <t>TAG Echeveria Mira 100/100 Pixie Tag DO FUL</t>
  </si>
  <si>
    <t>TAG Echeveria Moranii 100/100 Pixie Tag DO FUL</t>
  </si>
  <si>
    <t>TAG Echeveria Nodulosa 100/100 Pixie Tag DO FUL</t>
  </si>
  <si>
    <t>TAG Echeveria Orion 100/100 Pixie Tag DO FUL</t>
  </si>
  <si>
    <t>TAG Echeveria Parva 100/100 Pixie Tag DO FUL</t>
  </si>
  <si>
    <t>TAG Echeveria Pearl Of Nurnberg 100/100 Pixie Tag DO FUL</t>
  </si>
  <si>
    <t>TAG Echeveria Pelusida 100/100 Pixie Tag DO FUL</t>
  </si>
  <si>
    <t>TAG Echeveria Pink Edge 100/100 Pixie Tag DO FUL</t>
  </si>
  <si>
    <t>TAG Echeveria Pink Frills 100/100 Pixie Tag DO FUL</t>
  </si>
  <si>
    <t>TAG Echeveria Pollux 100/100 Pixie Tag DO FUL</t>
  </si>
  <si>
    <t>TAG Echeveria Purple Pearl Of Nurnberg 100/100 Pixie Tag DO FUL</t>
  </si>
  <si>
    <t>TAG Echeveria Pulvinata 100/100 Pixie Tag DO FUL</t>
  </si>
  <si>
    <t>TAG Echeveria Pumila Glauca 100/100 Pixie Tag DO FUL</t>
  </si>
  <si>
    <t>TAG Echeveria Purpureum 100/100 Pixie Tag DO FUL</t>
  </si>
  <si>
    <t>TAG Echeveria Red Cone 100/100 Pixie Tag DO FUL</t>
  </si>
  <si>
    <t>TAG Echeveria Red Shade 100/100 Pixie Tag DO FUL</t>
  </si>
  <si>
    <t>TAG Echeveria Red Tip 100/100 Pixie Tag DO FUL</t>
  </si>
  <si>
    <t>TAG Echeveria Rosea 100/100 Pixie Tag DO FUL</t>
  </si>
  <si>
    <t>TAG Echeveria Ruby Star 100/100 Pixie Tag DO FUL</t>
  </si>
  <si>
    <t>TAG Echeveria Rundelli 100/100 Pixie Tag DO FUL</t>
  </si>
  <si>
    <t>TAG Echeveria Rusbyi 100/100 Pixie Tag DO FUL</t>
  </si>
  <si>
    <t>TAG Echeveria Sagita 100/100 Pixie Tag DO FUL</t>
  </si>
  <si>
    <t>TAG Echeveria Sanyatwe 100/100 Pixie Tag DO FUL</t>
  </si>
  <si>
    <t>TAG Echeveria Scheideckeri 100/100 Pixie Tag DO FUL</t>
  </si>
  <si>
    <t>TAG Echeveria Secunda 100/100 Pixie Tag DO FUL</t>
  </si>
  <si>
    <t>TAG Echeveria Serrana 100/100 Pixie Tag DO FUL</t>
  </si>
  <si>
    <t>TAG Echeveria Setosa 100/100 Pixie Tag DO FUL</t>
  </si>
  <si>
    <t>TAG Echeveria Setosa Deminuta 100/100 Pixie Tag DO FUL</t>
  </si>
  <si>
    <t>TAG Echeveria Shaviana 100/100 Pixie Tag DO FUL</t>
  </si>
  <si>
    <t>TAG Echeveria Silver Queen 100/100 Pixie Tag DO FUL</t>
  </si>
  <si>
    <t>TAG Echeveria Skater 100/100 Pixie Tag DO FUL</t>
  </si>
  <si>
    <t>TAG Echeveria Subsessilis 100/100 Pixie Tag DO FUL</t>
  </si>
  <si>
    <t>TAG Echeveria Texensis 100/100 Pixie Tag DO FUL</t>
  </si>
  <si>
    <t>TAG Echeveria Topsy Turvy CN2087 100/100 Pixie Tag DO FUL</t>
  </si>
  <si>
    <t>TAG Echeveria Topsy Turvy Hybrid 100/100 Pixie Tag DO FUL</t>
  </si>
  <si>
    <t>TAG Echeveria Victor 100/100 Pixie Tag DO FUL</t>
  </si>
  <si>
    <t>TAG Epiphyllum Anguliger 100/100 Pixie Tag DO FUL</t>
  </si>
  <si>
    <t>TAG Erysimum Berry Lemonade 100/100 Pixie Tag DO FUL</t>
  </si>
  <si>
    <t>TAG Erysimum Berry Lemonade 50/50 Petite Portrait DO FUL</t>
  </si>
  <si>
    <t>TAG Erysimum Citric 100/100 Pixie Tag DO FUL</t>
  </si>
  <si>
    <t>TAG Erysimum Pearl 100/100 Pixie Tag DO FUL</t>
  </si>
  <si>
    <t>TAG Erysimum Pink Lemonade 100/100 Pixie Tag DO FUL</t>
  </si>
  <si>
    <t>TAG Erysimum WallArt Lavender 100/100 Pixie Tag DO FUL</t>
  </si>
  <si>
    <t>TAG Eucomis Aloha Lily Leia Pineapple 50/50 Petite Portrait DO FUL</t>
  </si>
  <si>
    <t>TAG Eucomis Aloha Lily Maui Pineapple 50/50 Petite Portrait DO FUL</t>
  </si>
  <si>
    <t>TAG Eucomis Aloha Lily Nani Pineapple 50/50 Petite Portrait DO FUL</t>
  </si>
  <si>
    <t>TAG Eucomis Aloha Lily Tiki Pineapple 50/50 Petite Portrait DO FUL</t>
  </si>
  <si>
    <t>TAG Eupatorium Baby Joe 100/100 Pixie Tag DO FUL</t>
  </si>
  <si>
    <t>TAG Eupatorium Chocolate Joe 100/100 Pixie Tag DO FUL</t>
  </si>
  <si>
    <t>TAG Eupatorium Little Joe 100/100 Pixie Tag DO FUL</t>
  </si>
  <si>
    <t>TAG Euphorbia Ascot Rainbow 100/100 Pixie Tag DO FUL</t>
  </si>
  <si>
    <t>TAG Euphorbia Glacier Blue 100/100 Pixie Tag DO FUL</t>
  </si>
  <si>
    <t>TAG Euphorbia Maxi Aphrodite 50/50 Petite Portrait DO FUL</t>
  </si>
  <si>
    <t>TAG Euphorbia Maxi Apollon 50/50 Petite Portrait DO FUL</t>
  </si>
  <si>
    <t>TAG Euphorbia Maxi Atlas 50/50 Petite Portrait DO FUL</t>
  </si>
  <si>
    <t>TAG Euphorbia Maxi Dinni 50/50 Petite Portrait DO FUL</t>
  </si>
  <si>
    <t>TAG Euphorbia Maxi Helena 50/50 Petite Portrait DO FUL</t>
  </si>
  <si>
    <t>TAG Euphorbia Maxi Helios 50/50 Petite Portrait DO FUL</t>
  </si>
  <si>
    <t>TAG Euphorbia Maxi Karola 50/50 Petite Portrait DO FUL</t>
  </si>
  <si>
    <t>TAG Euphorbia Maxi Kronos 50/50 Petite Portrait DO FUL</t>
  </si>
  <si>
    <t>TAG Euphorbia Maxi Pink Cadillac 50/50 Petite Portrait DO FUL</t>
  </si>
  <si>
    <t>TAG Euphorbia Maxi Red Light 50/50 Petite Portrait DO FUL</t>
  </si>
  <si>
    <t>TAG Euphorbia Maxi Vulkanus 50/50 Petite Portrait DO FUL</t>
  </si>
  <si>
    <t>TAG Euphorbia Maxi Zephyr 50/50 Petite Portrait DO FUL</t>
  </si>
  <si>
    <t>TAG Euphorbia Maxi Zeus 50/50 Petite Portrait DO FUL</t>
  </si>
  <si>
    <t>TAG Euphorbia Mini Athene 50/50 Petite Portrait DO FUL</t>
  </si>
  <si>
    <t>TAG Euphorbia Mini Eos 50/50 Petite Portrait DO FUL</t>
  </si>
  <si>
    <t>TAG Euphorbia Mini Hector 50/50 Petite Portrait DO FUL</t>
  </si>
  <si>
    <t>TAG Euphorbia Mini Hera 50/50 Petite Portrait DO FUL</t>
  </si>
  <si>
    <t>TAG Euphorbia Mini Rhea 50/50 Petite Portrait DO FUL</t>
  </si>
  <si>
    <t>TAG Euphorbia Mini Selene 50/50 Petite Portrait DO FUL</t>
  </si>
  <si>
    <t>TAG Euphorbia Ruby Glow 100/100 Pixie Tag DO FUL</t>
  </si>
  <si>
    <t>TAG Euphorbia Ruby Glow 50/50 Petite Portrait DO FUL</t>
  </si>
  <si>
    <t>TAG Euphorbia Silver Swan 100/100 Pixie Tag DO FUL</t>
  </si>
  <si>
    <t>TAG Euphorbia Star Dust Pink Pandora 50/50 Petite Portrait DO FUL</t>
  </si>
  <si>
    <t>TAG Euphorbia Star Dust Super Flash 50/50 Petite Portrait DO FUL</t>
  </si>
  <si>
    <t>TAG Euphorbia Star Dust White Flash 50/50 Petite Portrait DO FUL</t>
  </si>
  <si>
    <t>TAG Euphorbia Star Dust White Sparkle 50/50 Petite Portrait DO FUL</t>
  </si>
  <si>
    <t>TAG Euphorbia Star Struck Double White 50/50 Petite Portrait DO FUL</t>
  </si>
  <si>
    <t>TAG Euphorbia Tasmanian Tiger 100/100 Pixie Tag DO FUL</t>
  </si>
  <si>
    <t>TAG Euphorbia Tasmanian Tiger 50/50 Petite Portrait DO FUL</t>
  </si>
  <si>
    <t>TAG Evolvu Beach Bum Blue 50/50 Petite Portrait DO FUL</t>
  </si>
  <si>
    <t>TAG Evolvulus Hawaiian Blue Eyes 50/50 Petite Portrait DO FUL</t>
  </si>
  <si>
    <t>TAG Fuchsia Aretes Alwin 50/50 Petite Portrait DO FUL</t>
  </si>
  <si>
    <t>TAG Fuchsia Aretes Arroyo Grande 50/50 Petite Portrait DO FUL</t>
  </si>
  <si>
    <t>TAG Fuchsia Aretes Belfort 50/50 Petite Portrait DO FUL</t>
  </si>
  <si>
    <t>TAG Fuchsia Aretes Jollies Nancy 50/50 Petite Portrait DO FUL</t>
  </si>
  <si>
    <t>TAG Fuchsia Aretes Jollies Nantes 50/50 Petite Portrait DO FUL</t>
  </si>
  <si>
    <t>TAG Fuchsia Aretes Patio Princess 50/50 Petite Portrait DO FUL</t>
  </si>
  <si>
    <t>TAG Fuchsia Aretes President G Bartlett 50/50 Petite Portrait DO FUL</t>
  </si>
  <si>
    <t>TAG Fuchsia Aretes Ringwood Market 50/50 Petite Portrait DO FUL</t>
  </si>
  <si>
    <t>TAG Fuchsia Aretes Arroyo Grand Upright 50/50 Petite Portrait DO FUL</t>
  </si>
  <si>
    <t>TAG Fuchsia Aretes Bari Upright 50/50 Petite Portrait DO FUL</t>
  </si>
  <si>
    <t>TAG Fuchsia Aretes Jollies Reims Upright 50/50 Petite Portrait DO FUL</t>
  </si>
  <si>
    <t>TAG Fuchsia Aretes Lago Grande Upright 50/50 Petite Portrait DO FUL</t>
  </si>
  <si>
    <t>TAG Fuchsia Aretes Pompei Upright 50/50 Petite Portrait DO FUL</t>
  </si>
  <si>
    <t>TAG Fuchsia Aretes Rio Grande Upright 50/50 Petite Portrait DO FUL</t>
  </si>
  <si>
    <t>TAG Fuchsia Autumnale 50/50 Petite Portrait DO FUL</t>
  </si>
  <si>
    <t>TAG Fuchsia Ballerina Arabesque 50/50 Petite Portrait DO FUL</t>
  </si>
  <si>
    <t>TAG Fuchsia Ballerina Assemble 50/50 Petite Portrait DO FUL</t>
  </si>
  <si>
    <t>TAG Fuchsia Ballerina Balance 50/50 Petite Portrait DO FUL</t>
  </si>
  <si>
    <t>TAG Fuchsia Ballerina Brise 50/50 Petite Portrait DO FUL</t>
  </si>
  <si>
    <t>TAG Fuchsia Ballerina Coupe 50/50 Petite Portrait DO FUL</t>
  </si>
  <si>
    <t>TAG Fuchsia Ballerina Jete 50/50 Petite Portrait DO FUL</t>
  </si>
  <si>
    <t>TAG Fuchsia Ballerina Pique 50/50 Petite Portrait DO FUL</t>
  </si>
  <si>
    <t>TAG Fuchsia Ballerina Royale 50/50 Petite Portrait DO FUL</t>
  </si>
  <si>
    <t>TAG Fuchsia Ballerina Upright Piroet 50/50 Petite Portrait DO FUL</t>
  </si>
  <si>
    <t>TAG Fuchsia Ballerina Upright Releve 50/50 Petite Portrait DO FUL</t>
  </si>
  <si>
    <t>TAG Fuchsia Ballerina Upright Tendu 50/50 Petite Portrait DO FUL</t>
  </si>
  <si>
    <t>TAG Fuchsia Blue Eyes 50/50 Petite Portrait DO FUL</t>
  </si>
  <si>
    <t>TAG Fuchsia City Lights 50/50 Petite Portrait DO FUL</t>
  </si>
  <si>
    <t>TAG Fuchsia Dark Eyes 50/50 Petite Portrait DO FUL</t>
  </si>
  <si>
    <t>TAG Fuchsia Dollar Princess 50/50 Petite Portrait DO FUL</t>
  </si>
  <si>
    <t>TAG Fuchsia Dusky Rose Trailing 50/50 Petite Portrait DO FUL</t>
  </si>
  <si>
    <t>TAG Fuchsia Electric Lights 50/50 Petite Portrait DO FUL</t>
  </si>
  <si>
    <t>TAG Fuchsia Happy Lights 50/50 Petite Portrait DO FUL</t>
  </si>
  <si>
    <t>TAG Fuchsia La Campanella 50/50 Petite Portrait DO FUL</t>
  </si>
  <si>
    <t>TAG Fuchsia Northern Lights Upright 50/50 Petite Portrait DO FUL</t>
  </si>
  <si>
    <t>TAG Fuchsia Paula Jane 50/50 Petite Portrait DO FUL</t>
  </si>
  <si>
    <t>TAG Fuchsia Skyrocket 50/50 Petite Portrait DO FUL</t>
  </si>
  <si>
    <t>TAG Fuchsia Southgate 50/50 Petite Portrait DO FUL</t>
  </si>
  <si>
    <t>TAG Fuchsia Swingtime 50/50 Petite Portrait DO FUL</t>
  </si>
  <si>
    <t>TAG Fuchsia Blue Eyes Trailing 50/50 Petite Portrait DO FUL</t>
  </si>
  <si>
    <t>TAG Fuchsia Lena Trailing 50/50 Petite Portrait DO FUL</t>
  </si>
  <si>
    <t>TAG Fuchsia Marinka Trailing 50/50 Petite Portrait DO FUL</t>
  </si>
  <si>
    <t>TAG Fuchsia Pink Marshmallow Trailing 50/50 Petite Portrait DO FUL</t>
  </si>
  <si>
    <t>TAG Fuchsia White Eyes Trailing 50/50 Petite Portrait DO FUL</t>
  </si>
  <si>
    <t>TAG Fuchsia Firecracker Upright 50/50 Petite Portrait DO FUL</t>
  </si>
  <si>
    <t>TAG Fuchsia Gartenmeister Upright 50/50 Petite Portrait DO FUL</t>
  </si>
  <si>
    <t>TAG Fuchsia Voodoo Upright 50/50 Petite Portrait DO FUL</t>
  </si>
  <si>
    <t>TAG Gaillardia Celebration 100/100 Pixie Tag DO FUL</t>
  </si>
  <si>
    <t>TAG Gaillardia Celebration 50/50 Petite Portrait DO FUL</t>
  </si>
  <si>
    <t>TAG Gaillardia Fanfare Blaze 100/100 Pixie Tag DO FUL</t>
  </si>
  <si>
    <t>TAG Gaillardia Fanfare Showtime 100/100 Pixie Tag DO FUL</t>
  </si>
  <si>
    <t>TAG Gaillardia SpinTop Copper Sun 100/100 Pixie Tag DO FUL</t>
  </si>
  <si>
    <t>TAG Gaillardia SpinTop Copper Sun 50/50 Petite Portrait DO FUL</t>
  </si>
  <si>
    <t>TAG Gaillardia SpinTop Mango 100/100 Pixie Tag DO FUL</t>
  </si>
  <si>
    <t>TAG Gaillardia SpinTop Mariachi Copper Sun 100/100 Pixie Tag DO FUL</t>
  </si>
  <si>
    <t>TAG Gaillardia SpinTop Mariachi Red Sky 100/100 Pixie Tag DO FUL</t>
  </si>
  <si>
    <t>TAG Gaillardia SpinTop Orange Halo 100/100 Pixie Tag DO FUL</t>
  </si>
  <si>
    <t>TAG Gaillardia SpinTop Pineapple 100/100 Pixie Tag DO FUL</t>
  </si>
  <si>
    <t>TAG Gaillardia SpinTop Red 100/100 Pixie Tag DO FUL</t>
  </si>
  <si>
    <t>TAG Gaillardia SpinTop Red Starburst 100/100 Pixie Tag DO FUL</t>
  </si>
  <si>
    <t>TAG Gaillardia SpinTop Red Starburst 50/50 Petite Portrait DO FUL</t>
  </si>
  <si>
    <t>TAG Gaillardia SpinTop Yellow Touch 100/100 Pixie Tag DO FUL</t>
  </si>
  <si>
    <t>TAG Gaillardia SpinTop Yellow Touch 50/50 Petite Portrait DO FUL</t>
  </si>
  <si>
    <t>TAG Gaillardia Sunset Cutie 100/100 Pixie Tag DO FUL</t>
  </si>
  <si>
    <t>TAG Gaillardia Sunset Flash 100/100 Pixie Tag DO FUL</t>
  </si>
  <si>
    <t>TAG Gaillardia Sunset Orange 100/100 Pixie Tag DO FUL</t>
  </si>
  <si>
    <t>TAG Gaillardia Sunset Orange Limited Availability 50/50 Petite Portrait DO FUL</t>
  </si>
  <si>
    <t>TAG Gaillardia Sunset Snappy 100/100 Pixie Tag DO FUL</t>
  </si>
  <si>
    <t>TAG Gaillardia Sunset Sunrise 100/100 Pixie Tag DO FUL</t>
  </si>
  <si>
    <t>TAG Galium Sweet Woodruff CN5180 100/100 Pixie Tag DO FUL</t>
  </si>
  <si>
    <t>TAG Gasteria D Tiga 100/100 Pixie Tag DO FUL</t>
  </si>
  <si>
    <t>TAG Gasteria Durban 100/100 Pixie Tag DO FUL</t>
  </si>
  <si>
    <t>TAG Gasteria Ernesti Ruschii 100/100 Pixie Tag DO FUL</t>
  </si>
  <si>
    <t>TAG Gasteria Ewoud 100/100 Pixie Tag DO FUL</t>
  </si>
  <si>
    <t>TAG Gasteria Flow 100/100 Pixie Tag DO FUL</t>
  </si>
  <si>
    <t>TAG Gasteria Fuscopunctata 100/100 Pixie Tag DO FUL</t>
  </si>
  <si>
    <t>TAG Gasteria Gracilis 100/100 Pixie Tag DO FUL</t>
  </si>
  <si>
    <t>TAG Gasteria Green Star 100/100 Pixie Tag DO FUL</t>
  </si>
  <si>
    <t>TAG Gasteria Kyaka 100/100 Pixie Tag DO FUL</t>
  </si>
  <si>
    <t>TAG Gasteria Liliputana 100/100 Pixie Tag DO FUL</t>
  </si>
  <si>
    <t>TAG Gasteria Limpopo 100/100 Pixie Tag DO FUL</t>
  </si>
  <si>
    <t>TAG Gasteria Little Warty 100/100 Pixie Tag DO FUL</t>
  </si>
  <si>
    <t>TAG Gasteria Morombe 100/100 Pixie Tag DO FUL</t>
  </si>
  <si>
    <t>TAG Gasteria Okavango 100/100 Pixie Tag DO FUL</t>
  </si>
  <si>
    <t>TAG Gasteria Royal Wolfgang 100/100 Pixie Tag DO FUL</t>
  </si>
  <si>
    <t>TAG Gasteria Verrucosa 100/100 Pixie Tag DO FUL</t>
  </si>
  <si>
    <t>TAG Gasteria Zimflora 100/100 Pixie Tag DO FUL</t>
  </si>
  <si>
    <t>TAG Gaura Belleza Dark Pink 100/100 Pixie Tag DO FUL</t>
  </si>
  <si>
    <t>TAG Gaura Belleza White 100/100 Pixie Tag DO FUL</t>
  </si>
  <si>
    <t>TAG Gaura Graceful Blush 100/100 Pixie Tag DO FUL</t>
  </si>
  <si>
    <t>TAG Gaura Graceful Light Pink 100/100 Pixie Tag DO FUL</t>
  </si>
  <si>
    <t>TAG Gaura Graceful Magic 100/100 Pixie Tag DO FUL</t>
  </si>
  <si>
    <t>TAG Gaura Graceful Pink 100/100 Pixie Tag DO FUL</t>
  </si>
  <si>
    <t>TAG Gaura Graceful Pink 50/50 Petite Portrait DO FUL</t>
  </si>
  <si>
    <t>TAG Gaura Graceful White 100/100 Pixie Tag DO FUL</t>
  </si>
  <si>
    <t>TAG Gaura Monarch Pink 100/100 Pixie Tag DO FUL</t>
  </si>
  <si>
    <t>TAG Gaura Monarch White 100/100 Pixie Tag DO FUL</t>
  </si>
  <si>
    <t>TAG Gaura Passionate Rainbow 100/100 Pixie Tag DO FUL</t>
  </si>
  <si>
    <t>TAG Gaura Rosy Jane 100/100 Pixie Tag DO FUL</t>
  </si>
  <si>
    <t>TAG Gaura Siskiyou Pink 100/100 Pixie Tag DO FUL</t>
  </si>
  <si>
    <t>TAG Gaura Whirling Butterflies 100/100 Pixie Tag DO FUL</t>
  </si>
  <si>
    <t>TAG Geranium Big EEZE Coral 50/50 Petite Portrait DO FUL</t>
  </si>
  <si>
    <t>TAG Geranium Big EEZE Dark Red 50/50 Petite Portrait DO FUL</t>
  </si>
  <si>
    <t>TAG Geranium Big EEZE Foxy Flamingo 50/50 Petite Portrait DO FUL</t>
  </si>
  <si>
    <t>TAG Geranium Big EEZE Fuchsia Blue 50/50 Petite Portrait DO FUL</t>
  </si>
  <si>
    <t>TAG Geranium Big EEZE Neon 50/50 Petite Portrait DO FUL</t>
  </si>
  <si>
    <t>TAG Geranium Big EEZE Pink 50/50 Petite Portrait DO FUL</t>
  </si>
  <si>
    <t>TAG Geranium Big EEZE Pink Batik 50/50 Petite Portrait DO FUL</t>
  </si>
  <si>
    <t>TAG Geranium Big EEZE Sakura 50/50 Petite Portrait DO FUL</t>
  </si>
  <si>
    <t>TAG Geranium Big EEZE Salmon 50/50 Petite Portrait DO FUL</t>
  </si>
  <si>
    <t>TAG Geranium Big EEZE Scarlet 50/50 Petite Portrait DO FUL</t>
  </si>
  <si>
    <t>TAG Geranium Big EEZE Watermelon 50/50 Petite Portrait DO FUL</t>
  </si>
  <si>
    <t>TAG Geranium Big EEZE White 50/50 Petite Portrait DO FUL</t>
  </si>
  <si>
    <t>TAG Geranium Brocade Cherry Night 50/50 Petite Portrait DO FUL</t>
  </si>
  <si>
    <t>TAG Geranium Brocade Fire 50/50 Petite Portrait DO FUL</t>
  </si>
  <si>
    <t>TAG Geranium Brocade Fire Night 50/50 Petite Portrait DO FUL</t>
  </si>
  <si>
    <t>TAG Geranium Brocade Salmon Night 50/50 Petite Portrait DO FUL</t>
  </si>
  <si>
    <t>TAG Geranium Brocade Wilhelm Langguth 50/50 Petite Portrait DO FUL</t>
  </si>
  <si>
    <t>TAG Geranium Candy Idols Blue 50/50 Petite Portrait DO FUL</t>
  </si>
  <si>
    <t>TAG Geranium Candy Idols Bright Red 50/50 Petite Portrait DO FUL</t>
  </si>
  <si>
    <t>TAG Geranium Candy Idols Dark Salmon 50/50 Petite Portrait DO FUL</t>
  </si>
  <si>
    <t>TAG Geranium Candy Idols Neon 50/50 Petite Portrait DO FUL</t>
  </si>
  <si>
    <t>TAG Geranium Candy Idols Rose With Eye 50/50 Petite Portrait DO FUL</t>
  </si>
  <si>
    <t>TAG Geranium Candy Idols Violet 50/50 Petite Portrait DO FUL</t>
  </si>
  <si>
    <t>TAG Geranium Candy Idols White 50/50 Petite Portrait DO FUL</t>
  </si>
  <si>
    <t>TAG Geranium Candy Rose Splash 50/50 Petite Portrait DO FUL</t>
  </si>
  <si>
    <t>TAG Geranium Candy White Parfait 50/50 Petite Portrait DO FUL</t>
  </si>
  <si>
    <t>TAG Geranium Citronella 50/50 Petite Portrait DO FUL</t>
  </si>
  <si>
    <t>TAG Geranium Decora Red Ivy 50/50 Petite Portrait DO FUL</t>
  </si>
  <si>
    <t>TAG Geranium Elegance Bravo Regal 50/50 Petite Portrait DO FUL</t>
  </si>
  <si>
    <t>TAG Geranium Elegance Burgundy 50/50 Petite Portrait DO FUL</t>
  </si>
  <si>
    <t>TAG Geranium Elegance Cherry Blush 50/50 Petite Portrait DO FUL</t>
  </si>
  <si>
    <t>TAG Geranium Elegance Claret 50/50 Petite Portrait DO FUL</t>
  </si>
  <si>
    <t>TAG Geranium Elegance Crystal Rose 50/50 Petite Portrait DO FUL</t>
  </si>
  <si>
    <t>TAG Geranium Elegance Imperial 50/50 Petite Portrait DO FUL</t>
  </si>
  <si>
    <t>TAG Geranium Elegance Lilac Majesty 50/50 Petite Portrait DO FUL</t>
  </si>
  <si>
    <t>TAG Geranium Elegance Lilac Sachet 50/50 Petite Portrait DO FUL</t>
  </si>
  <si>
    <t>TAG Geranium Elegance Light Lavender Splash 50/50 Petite Portrait DO FUL</t>
  </si>
  <si>
    <t>TAG Geranium Elegance Purple Majesty 50/50 Petite Portrait DO FUL</t>
  </si>
  <si>
    <t>TAG Geranium Elegance Red Velvet 50/50 Petite Portrait DO FUL</t>
  </si>
  <si>
    <t>TAG Geranium Elegance Rose Bicolor 50/50 Petite Portrait DO FUL</t>
  </si>
  <si>
    <t>TAG Geranium Elegance Royalty White 50/50 Petite Portrait DO FUL</t>
  </si>
  <si>
    <t>TAG Geranium Elegance Sunrise 50/50 Petite Portrait DO FUL</t>
  </si>
  <si>
    <t>TAG Geranium Global Burgundy 50/50 Petite Portrait FUL</t>
  </si>
  <si>
    <t>TAG Geranium Global Innovation Stars And Stripes 50/50 Petite Portrait FUL</t>
  </si>
  <si>
    <t>TAG Geranium Global Lavender 50/50 Petite Portrait DO FUL</t>
  </si>
  <si>
    <t>TAG Geranium Global Red 50/50 Petite Portrait DO FUL</t>
  </si>
  <si>
    <t>TAG Geranium Global Rose Pink 50/50 Petite Portrait DO FUL</t>
  </si>
  <si>
    <t>TAG Geranium Global Royal White 50/50 Petite Portrait DO FUL</t>
  </si>
  <si>
    <t>TAG Geranium Glory Days Pink Bicolor 50/50 Petite Portrait DO FUL</t>
  </si>
  <si>
    <t>TAG Geranium Glory Days Red Orange Bicolor 50/50 Petite Portrait DO FUL</t>
  </si>
  <si>
    <t>TAG Geranium Great Balls Of Fire Blue 50/50 Petite Portrait DO FUL</t>
  </si>
  <si>
    <t>TAG Geranium Great Balls Of Fire Burgundy 50/50 Petite Portrait DO FUL</t>
  </si>
  <si>
    <t>TAG Geranium Great Balls Of Fire Dark Red 50/50 Petite Portrait DO FUL</t>
  </si>
  <si>
    <t>TAG Geranium Great Balls Fire Hot Pink 50/50 Petite Portrait DO FUL</t>
  </si>
  <si>
    <t>TAG Geranium Great Balls Of Fire Lavender 23 50/50 Petite Portrait DO FUL</t>
  </si>
  <si>
    <t>TAG Geranium Great Balls Of Fire Lavender 50/50 Petite Portrait DO FUL</t>
  </si>
  <si>
    <t>TAG Geranium Great Balls Fire Lilac 50/50 Petite Portrait DO FUL</t>
  </si>
  <si>
    <t>TAG Geranium Great Balls Of Fire Light Lavender 50/50 Petite Portrait DO FUL</t>
  </si>
  <si>
    <t>TAG Geranium Great Balls Of Fire Melon 50/50 Petite Portrait DO FUL</t>
  </si>
  <si>
    <t>TAG Geranium Great Balls Of Fire Merlot 50/50 Petite Portrait DO FUL</t>
  </si>
  <si>
    <t>TAG Geranium Great Balls Of Fire Pink 50/50 Petite Portrait DO FUL</t>
  </si>
  <si>
    <t>TAG Geranium Great Balls Of Fire Pink 23 50/50 Petite Portrait DO FUL</t>
  </si>
  <si>
    <t>TAG Geranium Great Balls Of Fire Salmon 50/50 Petite Portrait DO FUL</t>
  </si>
  <si>
    <t>TAG Geranium Great Balls Of Fire Stars And Stripes 50/50 Petite Portrait DO FUL</t>
  </si>
  <si>
    <t>TAG Geranium Great Balls Of Fire Velvet 50/50 Petite Portrait DO FUL</t>
  </si>
  <si>
    <t>TAG Geranium Great Balls Of Fire White 50/50 Petite Portrait DO FUL</t>
  </si>
  <si>
    <t>TAG Geranium Maestro Idols Bright Red 50/50 Petite Portrait DO FUL</t>
  </si>
  <si>
    <t>TAG Geranium Maestro Idols Cherry 50/50 Petite Portrait DO FUL</t>
  </si>
  <si>
    <t>TAG Geranium Maestro Idols Deep Red 50/50 Petite Portrait DO FUL</t>
  </si>
  <si>
    <t>TAG Geranium Maestro Idols Light Pink Parfait 50/50 Petite Portrait DO FUL</t>
  </si>
  <si>
    <t>TAG Geranium Maestro Idols Neon Violet 50/50 Petite Portrait DO FUL</t>
  </si>
  <si>
    <t>TAG Geranium Maestro Idols Pink Parfait 50/50 Petite Portrait DO FUL</t>
  </si>
  <si>
    <t>TAG Geranium Maestro Idols Red 50/50 Petite Portrait DO FUL</t>
  </si>
  <si>
    <t>TAG Geranium Maestro Idols Salmon Splash 50/50 Petite Portrait DO FUL</t>
  </si>
  <si>
    <t>TAG Geranium Maestro Idols Salmon 50/50 Petite Portrait DO FUL</t>
  </si>
  <si>
    <t>TAG Geranium Maestro Idols Sassy Dark Red 50/50 Petite Portrait DO FUL</t>
  </si>
  <si>
    <t>TAG Geranium Maestro Idols True Red 50/50 Petite Portrait DO FUL</t>
  </si>
  <si>
    <t>TAG Geranium Maestro Idols White 50/50 Petite Portrait DO FUL</t>
  </si>
  <si>
    <t>TAG Geranium Mini Cascade Lavender 50/50 Petite Portrait DO FUL</t>
  </si>
  <si>
    <t>TAG Geranium Mini Cascade Pink 50/50 Petite Portrait DO FUL</t>
  </si>
  <si>
    <t>TAG Geranium Mini Cascade Red 50/50 Petite Portrait DO FUL</t>
  </si>
  <si>
    <t>TAG Geranium Patriot Berry Parfait 50/50 Petite Portrait DO FUL</t>
  </si>
  <si>
    <t>TAG Geranium Patriot Bright Pink 50/50 Petite Portrait DO FUL</t>
  </si>
  <si>
    <t>TAG Geranium Patriot Bright Red 50/50 Petite Portrait DO FUL</t>
  </si>
  <si>
    <t>TAG Geranium Patriot Bright Violet 50/50 Petite Portrait DO FUL</t>
  </si>
  <si>
    <t>TAG Geranium Patriot Berry Parfait CR3536 50/50 Petite Portrait DO FUL</t>
  </si>
  <si>
    <t>TAG Geranium Patriot Cherry Rose Improved 50/50 Petite Portrait DO FUL</t>
  </si>
  <si>
    <t>TAG Geranium Patriot Evening Glow 50/50 Petite Portrait DO FUL</t>
  </si>
  <si>
    <t>TAG Geranium Patriot Lavender Blue 50/50 Petite Portrait DO FUL</t>
  </si>
  <si>
    <t>TAG Geranium Patriot Orange 50/50 Petite Portrait DO FUL</t>
  </si>
  <si>
    <t>TAG Geranium Patriot Red Improved 50/50 Petite Portrait DO FUL</t>
  </si>
  <si>
    <t>TAG Geranium Patriot Rosalinda 50/50 Petite Portrait DO FUL</t>
  </si>
  <si>
    <t>TAG Geranium Patriot Rose Pink 50/50 Petite Portrait DO FUL</t>
  </si>
  <si>
    <t>TAG Geranium Patriot Salmon 50/50 Petite Portrait DO FUL</t>
  </si>
  <si>
    <t>TAG Geranium Patriot Salmon Chic 50/50 Petite Portrait DO FUL</t>
  </si>
  <si>
    <t>TAG Geranium Patriot Tickled Pink 50/50 Petite Portrait DO FUL</t>
  </si>
  <si>
    <t>TAG Geranium Patriot Watermelon 50/50 Petite Portrait DO FUL</t>
  </si>
  <si>
    <t>TAG Geranium Patriot White Improved 50/50 Petite Portrait DO FUL</t>
  </si>
  <si>
    <t>TAG Geranium Pinnacle Apple Blossom 50/50 Petite Portrait DO FUL</t>
  </si>
  <si>
    <t>TAG Geranium Pinnacle Dark Red 50/50 Petite Portrait DO FUL</t>
  </si>
  <si>
    <t>TAG Geranium Santana Dark Red 50/50 Petite Portrait DO FUL</t>
  </si>
  <si>
    <t>TAG Geranium Santana Fire 50/50 Petite Portrait DO FUL</t>
  </si>
  <si>
    <t>TAG Geranium Santana Pink 50/50 Petite Portrait DO FUL</t>
  </si>
  <si>
    <t>TAG Geranium Santana Pink Splash 50/50 Petite Portrait DO FUL</t>
  </si>
  <si>
    <t>TAG Geranium Santana Purple 50/50 Petite Portrait DO FUL</t>
  </si>
  <si>
    <t>TAG Geranium Santana White 50/50 Petite Portrait DO FUL</t>
  </si>
  <si>
    <t>TAG Geranium Santana White Splash 50/50 Petite Portrait DO FUL</t>
  </si>
  <si>
    <t>TAG Geranium Sarita Dark Red 50/50 Petite Portrait DO FUL</t>
  </si>
  <si>
    <t>TAG Geranium Sarita Fire 50/50 Petite Portrait DO FUL</t>
  </si>
  <si>
    <t>TAG Geranium Sarita Lilac Splash 50/50 Petite Portrait DO FUL</t>
  </si>
  <si>
    <t>TAG Geranium Sarita Neon Sizzle 50/50 Petite Portrait DO FUL</t>
  </si>
  <si>
    <t>TAG Geranium Sarita Pink 50/50 Petite Portrait DO FUL</t>
  </si>
  <si>
    <t>TAG Geranium Sarita Punch 50/50 Petite Portrait DO FUL</t>
  </si>
  <si>
    <t>TAG Geranium Sarita Salmon Pink 50/50 Petite Portrait DO FUL</t>
  </si>
  <si>
    <t>TAG Geranium Sarita Sunstar Red 50/50 Petite Portrait DO FUL</t>
  </si>
  <si>
    <t>TAG Geranium Sarita White 50/50 Petite Portrait DO FUL</t>
  </si>
  <si>
    <t>TAG Geranium Sarita Wild Salmon 50/50 Petite Portrait DO FUL</t>
  </si>
  <si>
    <t>TAG Geranium Savannah Blue 50/50 Petite Portrait DO FUL</t>
  </si>
  <si>
    <t>TAG Geranium Savannah Bright Eyes 50/50 Petite Portrait DO FUL</t>
  </si>
  <si>
    <t>TAG Geranium Savannah Cerise Sizzle 50/50 Petite Portrait DO FUL</t>
  </si>
  <si>
    <t>TAG Geranium Savannah Coral 50/50 Petite Portrait DO FUL</t>
  </si>
  <si>
    <t>TAG Geranium Savannah Hot Pink Sizzle 50/50 Petite Portrait DO FUL</t>
  </si>
  <si>
    <t>TAG Geranium Savannah Hot Rod Red 50/50 Petite Portrait DO FUL</t>
  </si>
  <si>
    <t>TAG Geranium Savannah Lavender Splash 50/50 Petite Portrait DO FUL</t>
  </si>
  <si>
    <t>TAG Geranium Savannah Light Salmon 50/50 Petite Portrait DO FUL</t>
  </si>
  <si>
    <t>TAG Geranium Savannah Merlot Sizzle 50/50 Petite Portrait DO FUL</t>
  </si>
  <si>
    <t>TAG Geranium Savannah Neon 50/50 Petite Portrait DO FUL</t>
  </si>
  <si>
    <t>TAG Geranium Savannah Oh So Orange 50/50 Petite Portrait DO FUL</t>
  </si>
  <si>
    <t>TAG Geranium Savannah Pink 50/50 Petite Portrait DO FUL</t>
  </si>
  <si>
    <t>TAG Geranium Savannah Pink Shades 50/50 Petite Portrait DO FUL</t>
  </si>
  <si>
    <t>TAG Geranium Savannah Pink Sizzle 50/50 Petite Portrait DO FUL</t>
  </si>
  <si>
    <t>TAG Geranium Savannah Pink Splash 50/50 Petite Portrait DO FUL</t>
  </si>
  <si>
    <t>TAG Geranium Savannah Punch 50/50 Petite Portrait DO FUL</t>
  </si>
  <si>
    <t>TAG Geranium Savannah Really Red 50/50 Petite Portrait DO FUL</t>
  </si>
  <si>
    <t>TAG Geranium Savannah Red 50/50 Petite Portrait DO FUL</t>
  </si>
  <si>
    <t>TAG Geranium Savannah Ruby Sizzle 50/50 Petite Portrait DO FUL</t>
  </si>
  <si>
    <t>TAG Geranium Savannah White 50/50 Petite Portrait DO FUL</t>
  </si>
  <si>
    <t>TAG Geranium Savannah White Splash Improved 50/50 Petite Portrait DO FUL</t>
  </si>
  <si>
    <t>TAG Geranium Summer Idols Dark Red 50/50 Petite Portrait DO FUL</t>
  </si>
  <si>
    <t>TAG Geranium Summer Idols Hot Pink 50/50 Petite Portrait DO FUL</t>
  </si>
  <si>
    <t>TAG Geranium Summer Idols Orange 50/50 Petite Portrait DO FUL</t>
  </si>
  <si>
    <t>TAG Geranium Summer Idols Purple 50/50 Petite Portrait DO FUL</t>
  </si>
  <si>
    <t>TAG Geranium Summer Idols True Red 50/50 Petite Portrait DO FUL</t>
  </si>
  <si>
    <t>TAG Geranium Summer Idols White 50/50 Petite Portrait DO FUL</t>
  </si>
  <si>
    <t>TAG Geranium Survivor Baby Face 50/50 Petite Portrait DO FUL</t>
  </si>
  <si>
    <t>TAG Geranium Survivor Blue 50/50 Petite Portrait DO FUL</t>
  </si>
  <si>
    <t>TAG Geranium Survivor Cherry Red 50/50 Petite Portrait DO FUL</t>
  </si>
  <si>
    <t>TAG Geranium Survivor Coral 50/50 Petite Portrait DO FUL</t>
  </si>
  <si>
    <t>TAG Geranium Survivor Dark Red 50/50 Petite Portrait DO FUL</t>
  </si>
  <si>
    <t>TAG Geranium Survivor Fuchsia 50/50 Petite Portrait DO FUL</t>
  </si>
  <si>
    <t>TAG Geranium Survivor Hot Pink 50/50 Petite Portrait DO FUL</t>
  </si>
  <si>
    <t>TAG Geranium Survivor Indigo Sky 50/50 Petite Portrait DO FUL</t>
  </si>
  <si>
    <t>TAG Geranium Survivor Neon Violet 50/50 Petite Portrait DO FUL</t>
  </si>
  <si>
    <t>TAG Geranium Survivor Orange 50/50 Petite Portrait DO FUL</t>
  </si>
  <si>
    <t>TAG Geranium Survivor Paperbloom 50/50 Petite Portrait DO FUL</t>
  </si>
  <si>
    <t>TAG Geranium Survivor Pink 50/50 Petite Portrait DO FUL</t>
  </si>
  <si>
    <t>TAG Geranium Survivor Pink Batik 50/50 Petite Portrait DO FUL</t>
  </si>
  <si>
    <t>TAG Geranium Survivor Pink Charme 50/50 Petite Portrait DO FUL</t>
  </si>
  <si>
    <t>TAG Geranium Survivor Pink Mega Splash 50/50 Petite Portrait DO FUL</t>
  </si>
  <si>
    <t>TAG Geranium Survivor Pink Passion 50/50 Petite Portrait DO FUL</t>
  </si>
  <si>
    <t>TAG Geranium Survivor Salmon Pink 50/50 Petite Portrait DO FUL</t>
  </si>
  <si>
    <t>TAG Geranium Survivor Salmon Sensation 50/50 Petite Portrait DO FUL</t>
  </si>
  <si>
    <t>TAG Geranium Survivor Scarlet 50/50 Petite Portrait DO FUL</t>
  </si>
  <si>
    <t>TAG Geranium Survivor Tickled Pink 50/50 Petite Portrait DO FUL</t>
  </si>
  <si>
    <t>TAG Geranium Survivor White 11 50/50 Petite Portrait DO FUL</t>
  </si>
  <si>
    <t>TAG Geranium Vancouver Centennial 100/100 Pixie Tag DO</t>
  </si>
  <si>
    <t>TAG Geranium Vancouver Centennial 50/50 Petite Portrait DO FUL</t>
  </si>
  <si>
    <t>TAG Geranium Ville De Paris Red 50/50 Petite Portrait DO FUL</t>
  </si>
  <si>
    <t>TAG Geranium Ville De Rheinberg Brilliant 50/50 Petite Portrait DO FUL</t>
  </si>
  <si>
    <t>TAG Geranium Wilhelm Langguth 100/100 Pixie Tag DO</t>
  </si>
  <si>
    <t>TAG Geranium Zonal GENERIC 50/50 Petite Portrait DO FUL</t>
  </si>
  <si>
    <t>TAG Glechoma 50/50 Petite Portrait DO FUL</t>
  </si>
  <si>
    <t>TAG Graptoveria Bashful 100/100 Pixie Tag DO FUL</t>
  </si>
  <si>
    <t>TAG Graptoveria Debbie 100/100 Pixie Tag DO FUL</t>
  </si>
  <si>
    <t>TAG Haworthia Barcelona 100/100 Pixie Tag DO FUL</t>
  </si>
  <si>
    <t>TAG Haworthia Bella 100/100 Pixie Tag DO FUL</t>
  </si>
  <si>
    <t>TAG Haworthia Big Band 100/100 Pixie Tag DO FUL</t>
  </si>
  <si>
    <t>TAG Haworthia Big Band China 100/100 Pixie Tag DO FUL</t>
  </si>
  <si>
    <t>TAG Haworthia Boston 100/100 Pixie Tag DO FUL</t>
  </si>
  <si>
    <t>TAG Haworthia Cape Town 100/100 Pixie Tag DO FUL</t>
  </si>
  <si>
    <t>TAG Haworthia Coarctata 100/100 Pixie Tag DO FUL</t>
  </si>
  <si>
    <t>TAG Haworthia Columbus 100/100 Pixie Tag DO FUL</t>
  </si>
  <si>
    <t>TAG Haworthia Concolor 100/100 Pixie Tag DO FUL</t>
  </si>
  <si>
    <t>TAG Haworthia Cymbiformis 100/100 Pixie Tag DO FUL</t>
  </si>
  <si>
    <t>TAG Haworthia Enon 100/100 Pixie Tag DO FUL</t>
  </si>
  <si>
    <t>TAG Haworthia Fasciata Green 100/100 Pixie Tag DO FUL</t>
  </si>
  <si>
    <t>TAG Haworthia Gigantea 100/100 Pixie Tag DO FUL</t>
  </si>
  <si>
    <t>TAG Haworthia Herbacea 100/100 Pixie Tag DO FUL</t>
  </si>
  <si>
    <t>TAG Haworthia Jacobseniana 100/100 Pixie Tag DO FUL</t>
  </si>
  <si>
    <t>TAG Haworthia Limifolia 100/100 Pixie Tag DO FUL</t>
  </si>
  <si>
    <t>TAG Haworthia Magnificus 100/100 Pixie Tag DO FUL</t>
  </si>
  <si>
    <t>TAG Haworthia Marginata 100/100 Pixie Tag DO FUL</t>
  </si>
  <si>
    <t>TAG Haworthia Pentagona 100/100 Pixie Tag DO FUL</t>
  </si>
  <si>
    <t>TAG Haworthia Pescara 100/100 Pixie Tag DO FUL</t>
  </si>
  <si>
    <t>TAG Haworthia Retusa 100/100 Pixie Tag DO FUL</t>
  </si>
  <si>
    <t>TAG Haworthia Rome 100/100 Pixie Tag DO FUL</t>
  </si>
  <si>
    <t>TAG Haworthia Royal Albert 100/100 Pixie Tag DO FUL</t>
  </si>
  <si>
    <t>TAG Haworthia Tessellata 100/100 Pixie Tag DO FUL</t>
  </si>
  <si>
    <t>TAG Haworthia Twister 100/100 Pixie Tag DO FUL</t>
  </si>
  <si>
    <t>TAG Haworthia Universe 100/100 Pixie Tag DO FUL</t>
  </si>
  <si>
    <t>TAG Haworthia Zebra 100/100 Pixie Tag DO FUL</t>
  </si>
  <si>
    <t>TAG Hedera Baltica CN5199 100/100 Pixie Tag DO FUL</t>
  </si>
  <si>
    <t>TAG Hedera Fancy California 100/100 Pixie Tag DO FUL</t>
  </si>
  <si>
    <t>TAG Hedera Glacier 50/50 Petite Portrait DO FUL</t>
  </si>
  <si>
    <t>TAG Hedera Glacier CN5193 100/100 Pixie Tag DO FUL</t>
  </si>
  <si>
    <t>TAG Hedera Gold Child CN5194 100/100 Pixie Tag DO FUL</t>
  </si>
  <si>
    <t>TAG Hedera Ivy Algerian 100/100 Pixie Tag DO FUL</t>
  </si>
  <si>
    <t>TAG Hedera Ivy Baltic 50/50 Petite Portrait DO FUL</t>
  </si>
  <si>
    <t>TAG Hedera Ivy English 100/100 Pixie Tag DO FUL</t>
  </si>
  <si>
    <t>TAG Hedera Ivy English 50/50 Petite Portrait DO FUL</t>
  </si>
  <si>
    <t>TAG Hedera Marengo 100/100 Pixie Tag DO FUL</t>
  </si>
  <si>
    <t>TAG Hedera Needlepoint 100/100 Pixie Tag DO FUL</t>
  </si>
  <si>
    <t>TAG Hedera Ripple Yellow 100/100 Pixie Tag DO FUL</t>
  </si>
  <si>
    <t>TAG Hedera Thorndale 100/100 Pixie Tag DO FUL</t>
  </si>
  <si>
    <t>TAG Helenium Salud Embers 100/100 Pixie Tag DO FUL</t>
  </si>
  <si>
    <t>TAG Helenium Salud Golden 100/100 Pixie Tag DO FUL</t>
  </si>
  <si>
    <t>TAG Helenium Salud Yellow 100/100 Pixie Tag DO FUL</t>
  </si>
  <si>
    <t>TAG Helichrysum Icicles Licorice 50/50 Petite Portrait DO FUL</t>
  </si>
  <si>
    <t>TAG Helichrysum Petite 50/50 Petite Portrait DO FUL</t>
  </si>
  <si>
    <t>TAG Helichrysum Silver Licorice Plant 50/50 Petite Portrait DO FUL</t>
  </si>
  <si>
    <t>TAG Helichrysum Silver Spike 50/50 Petite Portrait DO FUL</t>
  </si>
  <si>
    <t>TAG Helichrysum Silverstar 50/50 Petite Portrait DO FUL</t>
  </si>
  <si>
    <t>TAG Helichrysum White Licorice 50/50 Petite Portrait DO FUL</t>
  </si>
  <si>
    <t>TAG Heliopsis Sunstruck 100/100 Pixie Tag DO FUL</t>
  </si>
  <si>
    <t>TAG Heliopsis Sunstruck 50/50 Petite Portrait DO FUL</t>
  </si>
  <si>
    <t>TAG Heliotrope Fragrant Delight 50/50 Petite Portrait DO FUL</t>
  </si>
  <si>
    <t>TAG Heliotrope Hinto Amethyst 50/50 Petite Portrait DO FUL</t>
  </si>
  <si>
    <t>TAG Thyme English 100/100 Pixie Tag DO FUL</t>
  </si>
  <si>
    <t>TAG Houttuynia Chameleon Cordata 100/100 Pixie Tag DO FUL</t>
  </si>
  <si>
    <t>TAG Houttuynia Chameleon Cordata 50/50 Petite Portrait DO FUL</t>
  </si>
  <si>
    <t>TAG Iberis Alexanders White 50/50 Petite Portrait DO FUL</t>
  </si>
  <si>
    <t>TAG Iberis Candy Sorbet 100/100 Pixie Tag DO FUL</t>
  </si>
  <si>
    <t>TAG Iberis Little Gem 50/50 Petite Portrait DO FUL</t>
  </si>
  <si>
    <t>TAG Iberis Purity 100/100 Pixie Tag DO FUL</t>
  </si>
  <si>
    <t>TAG Iberis Snowflake 100/100 Pixie Tag DO FUL</t>
  </si>
  <si>
    <t>TAG Iberis Spruzzo 100/100 Pixie Tag DO FUL</t>
  </si>
  <si>
    <t>TAG Iberis Spruzzo Limited Availability 50/50 Petite Portrait DO FUL</t>
  </si>
  <si>
    <t>TAG Iberis Tuff 100/100 Pixie Tag DO FUL</t>
  </si>
  <si>
    <t>TAG Iberis White Shadow 100/100 Pixie Tag DO FUL</t>
  </si>
  <si>
    <t>TAG Impatiens Amstel Veronica 50/50 Petite Portrait DO FUL</t>
  </si>
  <si>
    <t>TAG Impatiens Magnum Blue 50/50 Petite Portrait DO FUL</t>
  </si>
  <si>
    <t>TAG Impatiens Magnum Bright Purple 50/50 Petite Portrait DO FUL</t>
  </si>
  <si>
    <t>TAG Impatiens Magnum Clear Pink 50/50 Petite Portrait DO FUL</t>
  </si>
  <si>
    <t>TAG Impatiens Magnum Clear White 50/50 Petite Portrait DO FUL</t>
  </si>
  <si>
    <t>TAG Impatiens Magnum Fire 50/50 Petite Portrait DO FUL</t>
  </si>
  <si>
    <t>TAG Impatiens Magnum Hot Pink 50/50 Petite Portrait DO FUL</t>
  </si>
  <si>
    <t>TAG Impatiens Magnum Lavender 50/50 Petite Portrait DO FUL</t>
  </si>
  <si>
    <t>TAG Impatiens Magnum Lavender Splash 50/50 Petite Portrait DO FUL</t>
  </si>
  <si>
    <t>TAG Impatiens Magnum Light Lavender 50/50 Petite Portrait DO FUL</t>
  </si>
  <si>
    <t>TAG Impatiens Magnum Light Salmon 50/50 Pixie TAG DO FUL</t>
  </si>
  <si>
    <t>TAG Impatiens Magnum Magenta 50/50 Petite Portrait DO FUL</t>
  </si>
  <si>
    <t>TAG Impatiens Magnum Midnight Orchid 50/50 Petite Portrait DO FUL</t>
  </si>
  <si>
    <t>TAG Impatiens Magnum Orange 50/50 Petite Portrait DO FUL</t>
  </si>
  <si>
    <t>TAG Impatiens Magnum Pink 50/50 Petite Portrait DO FUL</t>
  </si>
  <si>
    <t>TAG Impatiens Magnum Purple 50/50 Petite Portrait DO FUL</t>
  </si>
  <si>
    <t>TAG Impatiens Magnum Red 50/50 Petite Portrait DO FUL</t>
  </si>
  <si>
    <t>TAG Impatiens Magnum Red Flame 50/50 Petite Portrait DO FUL</t>
  </si>
  <si>
    <t>TAG Impatiens Magnum Rose Star 50/50 Petite Portrait DO FUL</t>
  </si>
  <si>
    <t>TAG Impatiens Magnum Salmon 50/50 Petite Portrait DO FUL</t>
  </si>
  <si>
    <t>TAG Impatiens Magnum Violet Star 50/50 Pixie TAG DO FUL</t>
  </si>
  <si>
    <t>TAG Impatiens Magnum White 50/50 Petite Portrait DO FUL</t>
  </si>
  <si>
    <t>TAG Impatiens Magnum White Blush 50/50 Petite Portrait DO FUL</t>
  </si>
  <si>
    <t>TAG Impatiens Magnum Wild Salmon 50/50 Petite Portrait DO FUL</t>
  </si>
  <si>
    <t>TAG Impatiens Magnum XL Orange 50/50 Petite Portrait DO FUL</t>
  </si>
  <si>
    <t>TAG Impatiens Magnum XL Salmon 50/50 Petite Portrait DO FUL</t>
  </si>
  <si>
    <t>TAG Impatiens MegaGuinea Orange 50/50 Petite Portrait DO FUL</t>
  </si>
  <si>
    <t>TAG Impatiens MegaGuinea Pink 50/50 Petite Portrait DO FUL</t>
  </si>
  <si>
    <t>TAG Impatiens MegaGuinea Purple 50/50 Petite Portrait DO FUL</t>
  </si>
  <si>
    <t>TAG Impatiens MegaGuinea White Blush 50/50 Petite Portrait DO FUL</t>
  </si>
  <si>
    <t>TAG Impatiens Painted Paradise Lilac 50/50 Petite Portrait DO FUL</t>
  </si>
  <si>
    <t>TAG Impatiens Painted Paradise Orange 50/50 Petite Portrait DO FUL</t>
  </si>
  <si>
    <t>TAG Impatiens Painted Paradise Red 50/50 Petite Portrait DO FUL</t>
  </si>
  <si>
    <t>TAG Impatiens Painted Paradise Wine 50/50 Petite Portrait DO FUL</t>
  </si>
  <si>
    <t>TAG Impatiens Paradise Blush White 50/50 Petite Portrait DO FUL</t>
  </si>
  <si>
    <t>TAG Impatiens Paradise Bright Red 50/50 Petite Portrait DO FUL</t>
  </si>
  <si>
    <t>TAG Impatiens Paradise Carmine Red 50/50 Petite Portrait DO FUL</t>
  </si>
  <si>
    <t>TAG Impatiens Paradise Cherry Rose 50/50 Petite Portrait DO FUL</t>
  </si>
  <si>
    <t>TAG Impatiens Paradise Electric Orange 50/50 Petite Portrait DO FUL</t>
  </si>
  <si>
    <t>TAG Impatiens Paradise Fuchsia 50/50 Petite Portrait DO FUL</t>
  </si>
  <si>
    <t>TAG Impatiens Paradise Fuchsia Lavender 50/50 Petite Portrait DO FUL</t>
  </si>
  <si>
    <t>TAG Impatiens Paradise Jaco 50/50 Petite Portrait DO FUL</t>
  </si>
  <si>
    <t>TAG Impatiens Paradise Light Lavender 50/50 Petite Portrait DO FUL</t>
  </si>
  <si>
    <t>TAG Impatiens Paradise Magenta Pink 50/50 Petite Portrait DO FUL</t>
  </si>
  <si>
    <t>TAG Impatiens Paradise New Red 50/50 Petite Portrait DO FUL</t>
  </si>
  <si>
    <t>TAG Impatiens Paradise Orange White 50/50 Petite Portrait DO FUL</t>
  </si>
  <si>
    <t>TAG Impatiens Paradise Orchid 50/50 Petite Portrait DO FUL</t>
  </si>
  <si>
    <t>TAG Impatiens Paradise Pearl White 50/50 Petite Portrait DO FUL</t>
  </si>
  <si>
    <t>TAG Impatiens Paradise Rococo Apricot 50/50 Petite Portrait DO FUL</t>
  </si>
  <si>
    <t>TAG Impatiens Paradise Rococo Cherry 50/50 Petite Portrait DO FUL</t>
  </si>
  <si>
    <t>TAG Impatiens Paradise Rococo Orange 50/50 Petite Portrait DO FUL</t>
  </si>
  <si>
    <t>TAG Impatiens Paradise Rococo Pink 50/50 Petite Portrait DO FUL</t>
  </si>
  <si>
    <t>TAG Impatiens Paradise Rococo Purple 50/50 Petite Portrait DO FUL</t>
  </si>
  <si>
    <t>TAG Impatiens Paradise Salmon 50/50 Petite Portrait DO FUL</t>
  </si>
  <si>
    <t>TAG Impatiens Petticoat Aubergine 50/50 Petite Portrait DO FUL</t>
  </si>
  <si>
    <t>TAG Impatiens Petticoat Blue Star 11 50/50 Petite Portrait DO FUL</t>
  </si>
  <si>
    <t>TAG Impatiens Petticoat Cherry Star 50/50 Petite Portrait DO FUL</t>
  </si>
  <si>
    <t>TAG Impatiens Petticoat Cherry Blossom 50/50 Petite Portrait DO FUL</t>
  </si>
  <si>
    <t>TAG Impatiens Petticoat Fire 50/50 Petite Portrait DO FUL</t>
  </si>
  <si>
    <t>TAG Impatiens Petticoat Lavender 50/50 Petite Portrait DO FUL</t>
  </si>
  <si>
    <t>TAG Impatiens Petticoat Lilac 50/50 Petite Portrait DO FUL</t>
  </si>
  <si>
    <t>TAG Impatiens Petticoat Mandarin Star 50/50 Petite Portrait DO FUL</t>
  </si>
  <si>
    <t>TAG Impatiens Petticoat Mango Swirl 50/50 Petite Portrait DO FUL</t>
  </si>
  <si>
    <t>TAG Impatiens Petticoat Neon Night 11 50/50 Petite Portrait DO FUL</t>
  </si>
  <si>
    <t>TAG Impatiens Petticoat Orange Orchid 50/50 Petite Portrait DO FUL</t>
  </si>
  <si>
    <t>TAG Impatiens Petticoat Orange Star 50/50 Petite Portrait DO FUL</t>
  </si>
  <si>
    <t>TAG Impatiens Petticoat Orange Swirl 50/50 Petite Portrait DO FUL</t>
  </si>
  <si>
    <t>TAG Impatiens Petticoat Pink 50/50 Petite Portrait DO FUL</t>
  </si>
  <si>
    <t>TAG Impatiens Petticoat Pink Charme 50/50 Petite Portrait DO FUL</t>
  </si>
  <si>
    <t>TAG Impatiens Petticoat Pink Joy 50/50 Petite Portrait DO FUL</t>
  </si>
  <si>
    <t>TAG Impatiens Petticoat Pink Punch 50/50 Petite Portrait DO FUL</t>
  </si>
  <si>
    <t>TAG Impatiens Petticoat Pink Berry Pie 50/50 Petite Portrait DO FUL</t>
  </si>
  <si>
    <t>TAG Impatiens Petticoat Purple Star 50/50 Petite Portrait DO FUL</t>
  </si>
  <si>
    <t>TAG Impatiens Petticoat Purple Star 23 50/50 Petite Portrait DO FUL</t>
  </si>
  <si>
    <t>TAG Impatiens Petticoat Purple 50/50 Petite Portrait DO FUL</t>
  </si>
  <si>
    <t>TAG Impatiens Petticoat Red 50/50 Petite Portrait DO FUL</t>
  </si>
  <si>
    <t>TAG Impatiens Petticoat Red Flame 50/50 Petite Portrait DO FUL</t>
  </si>
  <si>
    <t>TAG Impatiens Petticoat Red Star 50/50 Petite Portrait DO FUL</t>
  </si>
  <si>
    <t>TAG Impatiens Petticoat Salmon Night 50/50 Petite Portrait DO FUL</t>
  </si>
  <si>
    <t>TAG Impatiens Petticoat True Red 50/50 Petite Portrait DO FUL</t>
  </si>
  <si>
    <t>TAG Impatiens Petticoat Violet Star 50/50 Petite Portrait DO FUL</t>
  </si>
  <si>
    <t>TAG Impatiens Petticoat White 11 50/50 Petite Portrait DO FUL</t>
  </si>
  <si>
    <t>TAG Impatiens Petticoat Wonder White 50/50 Pixie TAG DO FUL</t>
  </si>
  <si>
    <t>TAG Impatiens Pure Beauty Lavender 50/50 Petite Portrait DO FUL</t>
  </si>
  <si>
    <t>TAG Impatiens Pure Beauty Purple 50/50 Petite Portrait DO FUL</t>
  </si>
  <si>
    <t>TAG Impatiens Pure Beauty Red On Pink 50/50 Petite Portrait DO FUL</t>
  </si>
  <si>
    <t>TAG Impatiens Pure Beauty White 50/50 Petite Portrait DO FUL</t>
  </si>
  <si>
    <t>TAG Impatiens Roller Coaster Dark Coral 50/50 Petite Portrait DO FUL</t>
  </si>
  <si>
    <t>TAG Impatiens Roller Coaster Hot Magenta 50/50 Petite Portrait DO FUL</t>
  </si>
  <si>
    <t>TAG Impatiens Roller Coaster Magenta 50/50 Petite Portrait DO FUL</t>
  </si>
  <si>
    <t>TAG Impatiens SunStanding Apollo Cherry Red 50/50 Petite Portrait DO FUL</t>
  </si>
  <si>
    <t>TAG Impatiens SunStanding Apollo Lilac 50/50 Petite Portrait DO FUL</t>
  </si>
  <si>
    <t>TAG Impatiens SunStanding Apollo Orange 50/50 Petite Portrait DO FUL</t>
  </si>
  <si>
    <t>TAG Impatiens SunStanding Apollo Pink 50/50 Petite Portrait DO FUL</t>
  </si>
  <si>
    <t>TAG Impatiens SunStanding Apollo Purple 50/50 Petite Portrait DO FUL</t>
  </si>
  <si>
    <t>TAG Impatiens SunStanding Apollo Ruby Red 50/50 Petite Portrait DO FUL</t>
  </si>
  <si>
    <t>TAG Impatiens SunStanding Apollo White Clo 50/50 Petite Portrait DO FUL</t>
  </si>
  <si>
    <t>TAG Impatiens SunStanding Coral Aurora 50/50 Petite Portrait DO FUL</t>
  </si>
  <si>
    <t>TAG Impatiens SunStanding Dark Red 50/50 Petite Portrait DO FUL</t>
  </si>
  <si>
    <t>TAG Impatiens SunStanding Flame Orange 50/50 Petite Portrait DO FUL</t>
  </si>
  <si>
    <t>TAG Impatiens SunStanding Helios Int Pin 50/50 Petite Portrait DO FUL</t>
  </si>
  <si>
    <t>TAG Impatiens SunStanding Helios Orange 50/50 Petite Portrait DO FUL</t>
  </si>
  <si>
    <t>TAG Impatiens SunStanding Helios Rose 50/50 Petite Portrait DO FUL</t>
  </si>
  <si>
    <t>TAG Impatiens SunStanding Helios Salmon Pink 50/50 Petite Portrait DO FUL</t>
  </si>
  <si>
    <t>TAG Impatiens SunStanding Jazzy Coral 50/50 Petite Portrait DO FUL</t>
  </si>
  <si>
    <t>TAG Impatiens SunStanding Jazzy Hot Pink 50/50 Petite Portrait DO FUL</t>
  </si>
  <si>
    <t>TAG Impatiens SunStanding Lavender 50/50 Petite Portrait DO FUL</t>
  </si>
  <si>
    <t>TAG Impatiens SunStanding Light Pink Aurora 50/50 Petite Portrait DO FUL</t>
  </si>
  <si>
    <t>TAG Impatiens SunStanding Magenta 50/50 Petite Portrait DO FUL</t>
  </si>
  <si>
    <t>TAG Impatiens SunStanding Magnt Borealis 50/50 Petite Portrait DO FUL</t>
  </si>
  <si>
    <t>TAG Impatiens SunStanding Neon Red 50/50 Petite Portrait DO FUL</t>
  </si>
  <si>
    <t>TAG Impatiens SunStanding Neon Rose 50/50 Petite Portrait DO FUL</t>
  </si>
  <si>
    <t>TAG Impatiens SunStanding Orange Aurora 50/50 Petite Portrait DO FUL</t>
  </si>
  <si>
    <t>TAG Impatiens SunStanding Purple 50/50 Petite Portrait DO FUL</t>
  </si>
  <si>
    <t>TAG Impatiens SunStanding White Cloud 50/50 Petite Portrait DO FUL</t>
  </si>
  <si>
    <t>TAG Impatiens Sweetie Pie Orange 50/50 Petite Portrait DO FUL</t>
  </si>
  <si>
    <t>TAG Impatiens Tamarinda Dark Red 50/50 Petite Portrait DO FUL</t>
  </si>
  <si>
    <t>TAG Impatiens Tamarinda Max Wild Salmon 50/50 Petite Portrait DO FUL</t>
  </si>
  <si>
    <t>TAG Impatiens Tamarinda Red 50/50 Petite Portrait DO FUL</t>
  </si>
  <si>
    <t>TAG Impatiens Tamarinda Red Bicolor 50/50 Petite Portrait DO FUL</t>
  </si>
  <si>
    <t>TAG Impatiens Tamarinda Soft Pink 50/50 Petite Portrait DO FUL</t>
  </si>
  <si>
    <t>TAG Impatiens Tamarinda True Pink 50/50 Petite Portrait DO FUL</t>
  </si>
  <si>
    <t>TAG Impatiens Tamarinda Violet 50/50 Petite Portrait DO FUL</t>
  </si>
  <si>
    <t>TAG Impatiens Tamarinda White 50/50 Petite Portrait DO FUL</t>
  </si>
  <si>
    <t>TAG Impatiens Wild Romance Blush 50/50 Petite Portrait DO FUL</t>
  </si>
  <si>
    <t>TAG Impatiens Wild Romance Hot Rose 50/50 Petite Portrait DO FUL</t>
  </si>
  <si>
    <t>TAG Impatiens Wild Romance Jazzy Blue Rose 50/50 Petite Portrait DO FUL</t>
  </si>
  <si>
    <t>TAG Impatiens Wild Romance Lavender 50/50 Petite Portrait DO FUL</t>
  </si>
  <si>
    <t>TAG Impatiens Wild Romance Orange 50/50 Pixie TAG DO FUL</t>
  </si>
  <si>
    <t>TAG Impatiens Wild Romance Peach 50/50 Petite Portrait DO FUL</t>
  </si>
  <si>
    <t>TAG Impatiens Wild Romance Pink 50/50 Petite Portrait DO FUL</t>
  </si>
  <si>
    <t>TAG Impatiens Wild Romance Red 50/50 Petite Portrait DO FUL</t>
  </si>
  <si>
    <t>TAG Impatiens Wild Romance White 50/50 Petite Portrait DO FUL</t>
  </si>
  <si>
    <t>TAG Ipomoea Blackie 50/50 Petite Portrait DO FUL</t>
  </si>
  <si>
    <t>TAG Ipomoea Bright Ideas Black 50/50 Petite Portrait DO FUL</t>
  </si>
  <si>
    <t>TAG Ipomoea Bright Ideas Cordate Black 50/50 Petite Portrait DO FUL</t>
  </si>
  <si>
    <t>TAG Ipomoea Bright Ideas Cordate Lime 50/50 Petite Portrait DO FUL</t>
  </si>
  <si>
    <t>TAG Ipomoea Bright Ideas Cordate Rusty 50/50 Petite Portrait DO FUL</t>
  </si>
  <si>
    <t>TAG Ipomoea Bright Ideas Lime 50/50 Petite Portrait DO FUL</t>
  </si>
  <si>
    <t>TAG Ipomoea Bright Ideas Rusty Red 50/50 Petite Portrait DO FUL</t>
  </si>
  <si>
    <t>TAG Ipomoea FloraMia Black 50/50 Petite Portrait DO FUL</t>
  </si>
  <si>
    <t>TAG Ipomoea FloraMia Cameo 50/50 Petite Portrait DO FUL</t>
  </si>
  <si>
    <t>TAG Ipomoea FloraMia Limon 50/50 Petite Portrait DO FUL</t>
  </si>
  <si>
    <t>TAG Ipomoea FloraMia Limon Wedge 50/50 Petite Portrait DO FUL</t>
  </si>
  <si>
    <t>TAG Ipomoea FloraMia Nero 50/50 Petite Portrait DO FUL</t>
  </si>
  <si>
    <t>TAG Ipomoea FloraMia Rosso 50/50 Petite Portrait DO FUL</t>
  </si>
  <si>
    <t>TAG Ipomoea FloraMia Verdino 50/50 Petite Portrait DO FUL</t>
  </si>
  <si>
    <t>TAG Ipomoea Marguerite 50/50 Petite Portrait DO FUL</t>
  </si>
  <si>
    <t>TAG Ipomoea Tricolor 100/100 Pixie Tag DO</t>
  </si>
  <si>
    <t>TAG Ipomoea Tricolor 25/25 Portrait Tag DO</t>
  </si>
  <si>
    <t>TAG Ipomoea Tricolor 50/50 Petite Portrait DO FUL</t>
  </si>
  <si>
    <t>TAG Iresine Blazin Rose 50/50 Petite Portrait DO FUL</t>
  </si>
  <si>
    <t>TAG Isotoma/Laurentia Fizz N Pop Glowing Violet 50/50 Petite Portrait DO FUL</t>
  </si>
  <si>
    <t>TAG Isotoma/Laurentia Fizz N Pop Pretty In Pink 50/50 Petite Portrait DO FUL</t>
  </si>
  <si>
    <t>TAG Kalanchoe Archer 100/100 Pixie Tag DO FUL</t>
  </si>
  <si>
    <t>TAG Kalanchoe Grandiva Auger 100/100 Pixie Tag DO FUL</t>
  </si>
  <si>
    <t>TAG Kalanchoe Berkley 100/100 Pixie Tag DO FUL</t>
  </si>
  <si>
    <t>TAG Kalanchoe Birkin 100/100 Pixie Tag DO FUL</t>
  </si>
  <si>
    <t>TAG Kalanchoe Bromo 100/100 Pixie Tag DO FUL</t>
  </si>
  <si>
    <t>TAG Kalanchoe Calandiva Bella 100/100 Pixie Tag DO FUL</t>
  </si>
  <si>
    <t>TAG Kalanchoe Calandiva Design 100/100 Pixie Tag DO FUL</t>
  </si>
  <si>
    <t>TAG Kalanchoe Calandiva Foxy Fuerte 100/100 Pixie Tag DO FUL</t>
  </si>
  <si>
    <t>TAG Kalanchoe Calandiva Joie 100/100 Pixie Tag DO FUL</t>
  </si>
  <si>
    <t>TAG Kalanchoe Calandiva Lovely 100/100 Pixie Tag DO FUL</t>
  </si>
  <si>
    <t>TAG Kalanchoe Calandiva Radiant 100/100 Pixie Tag DO FUL</t>
  </si>
  <si>
    <t>TAG Kalanchoe Calandiva Volare 100/100 Pixie Tag DO FUL</t>
  </si>
  <si>
    <t>TAG Kalanchoe Calanday Calor Bartan 100/100 Pixie Tag DO FUL</t>
  </si>
  <si>
    <t>TAG Kalanchoe Calanday Calor Casitas 100/100 Pixie Tag DO FUL</t>
  </si>
  <si>
    <t>TAG Kalanchoe Calanday Calor Kamba 100/100 Pixie Tag DO FUL</t>
  </si>
  <si>
    <t>TAG Kalanchoe Calanday Calor Ubinas 100/100 Pixie Tag DO FUL</t>
  </si>
  <si>
    <t>TAG Kalanchoe Calanday Classy 100/100 Pixie Tag DO FUL</t>
  </si>
  <si>
    <t>TAG Kalanchoe Calanday Fiery 100/100 Pixie Tag DO FUL</t>
  </si>
  <si>
    <t>TAG Kalanchoe Calanday Kimono 100/100 Pixie Tag DO FUL</t>
  </si>
  <si>
    <t>TAG Kalanchoe Calanday Luxury 100/100 Pixie Tag DO FUL</t>
  </si>
  <si>
    <t>TAG Kalanchoe Calanday Sublime Couture 100/100 Pixie Tag DO FUL</t>
  </si>
  <si>
    <t>TAG Kalanchoe Calanday Sublime Flair 100/100 Pixie Tag DO FUL</t>
  </si>
  <si>
    <t>TAG Kalanchoe Calanday Sublime Gloss 100/100 Pixie Tag DO FUL</t>
  </si>
  <si>
    <t>TAG Kalanchoe Calanday Sublime Swirl Bossa 100/100 Pixie Tag DO FUL</t>
  </si>
  <si>
    <t>TAG Kalanchoe Calanday Sublime Swirl Nova 100/100 Pixie Tag DO FUL</t>
  </si>
  <si>
    <t>TAG Kalanchoe Calandiva Adkins 100/100 Pixie Tag DO FUL</t>
  </si>
  <si>
    <t>TAG Kalanchoe Calandiva Deco Garland 100/100 Pixie Tag DO FUL</t>
  </si>
  <si>
    <t>TAG Kalanchoe Calandiva Deco Summer 100/100 Pixie Tag DO FUL</t>
  </si>
  <si>
    <t>TAG Kalanchoe Calandiva Electra 100/100 Pixie Tag DO FUL</t>
  </si>
  <si>
    <t>TAG Kalanchoe Calandiva Florilis 100/100 Pixie Tag DO FUL</t>
  </si>
  <si>
    <t>TAG Kalanchoe Calandiva Kelton 100/100 Pixie Tag DO FUL</t>
  </si>
  <si>
    <t>TAG Kalanchoe Calandiva Menzel 100/100 Pixie Tag DO FUL</t>
  </si>
  <si>
    <t>TAG Kalanchoe Calandiva Turner 100/100 Pixie Tag DO FUL</t>
  </si>
  <si>
    <t>TAG Kalanchoe Calor Fabulous Fanta 100/100 Pixie Tag DO FUL</t>
  </si>
  <si>
    <t>TAG Kalanchoe Cher Decorative 100/100 Pixie Tag DO FUL</t>
  </si>
  <si>
    <t>TAG Kalanchoe Chocolate Soldier 100/100 Pixie Tag DO FUL</t>
  </si>
  <si>
    <t>TAG Kalanchoe Citrine 100/100 Pixie Tag DO FUL</t>
  </si>
  <si>
    <t>TAG Kalanchoe Coto 100/100 Pixie Tag DO FUL</t>
  </si>
  <si>
    <t>TAG Kalanchoe Dendi 100/100 Pixie Tag DO FUL</t>
  </si>
  <si>
    <t>TAG Kalanchoe Discodip 100/100 Pixie Tag DO FUL</t>
  </si>
  <si>
    <t>TAG Kalanchoe Fiesta 100/100 Pixie Tag DO FUL</t>
  </si>
  <si>
    <t>TAG Kalanchoe Flamingo 100/100 Pixie Tag DO FUL</t>
  </si>
  <si>
    <t>TAG Kalanchoe Flor 100/100 Pixie Tag DO FUL</t>
  </si>
  <si>
    <t>TAG Kalanchoe Fox 100/100 Pixie Tag DO FUL</t>
  </si>
  <si>
    <t>TAG Kalanchoe Fuego 100/100 Pixie Tag DO FUL</t>
  </si>
  <si>
    <t>TAG Kalanchoe Garbo 100/100 Pixie Tag DO FUL</t>
  </si>
  <si>
    <t>TAG Kalanchoe Hawn 100/100 Pixie Tag DO FUL</t>
  </si>
  <si>
    <t>TAG Kalanchoe Hekla 100/100 Pixie Tag DO FUL</t>
  </si>
  <si>
    <t>TAG Kalanchoe Jamaica 100/100 Pixie Tag DO FUL</t>
  </si>
  <si>
    <t>TAG Kalanchoe Kerinci 100/100 Pixie Tag DO FUL</t>
  </si>
  <si>
    <t>TAG Kalanchoe Keruna 100/100 Pixie Tag DO FUL</t>
  </si>
  <si>
    <t>TAG Kalanchoe Kikai 100/100 Pixie Tag DO FUL</t>
  </si>
  <si>
    <t>TAG Kalanchoe La Douce 100/100 Pixie Tag DO FUL</t>
  </si>
  <si>
    <t>TAG Kalanchoe Lanin 100/100 Pixie Tag DO FUL</t>
  </si>
  <si>
    <t>TAG Kalanchoe Lascar 100/100 Pixie Tag DO FUL</t>
  </si>
  <si>
    <t>TAG Kalanchoe Leaping Dolphins 100/100 Pixie Tag DO FUL</t>
  </si>
  <si>
    <t>TAG Kalanchoe Leonardo 100/100 Pixie Tag DO FUL</t>
  </si>
  <si>
    <t>TAG Kalanchoe Lican 100/100 Pixie Tag DO FUL</t>
  </si>
  <si>
    <t>TAG Kalanchoe Loy 100/100 Pixie Tag DO FUL</t>
  </si>
  <si>
    <t>TAG Kalanchoe Mere 100/100 Pixie Tag DO FUL</t>
  </si>
  <si>
    <t>TAG Kalanchoe Midi Sunkissed Pink 100/100 Pixie Tag DO FUL</t>
  </si>
  <si>
    <t>TAG Kalanchoe Mikeno 100/100 Pixie Tag DO FUL</t>
  </si>
  <si>
    <t>TAG Kalanchoe Milos 100/100 Pixie Tag DO FUL</t>
  </si>
  <si>
    <t>TAG Kalanchoe Morne 100/100 Pixie Tag DO FUL</t>
  </si>
  <si>
    <t>TAG Kalanchoe Newton 100/100 Pixie Tag DO FUL</t>
  </si>
  <si>
    <t>TAG Kalanchoe Nigrum 100/100 Pixie Tag DO FUL</t>
  </si>
  <si>
    <t>TAG Kalanchoe Nolin 100/100 Pixie Tag DO FUL</t>
  </si>
  <si>
    <t>TAG Kalanchoe Opala 100/100 Pixie Tag DO FUL</t>
  </si>
  <si>
    <t>TAG Kalanchoe Orgyalis 100/100 Pixie Tag DO FUL</t>
  </si>
  <si>
    <t>TAG Kalanchoe Partridge 100/100 Pixie Tag DO FUL</t>
  </si>
  <si>
    <t>TAG Kalanchoe Paso 100/100 Pixie Tag DO FUL</t>
  </si>
  <si>
    <t>TAG Kalanchoe Petero 100/100 Pixie Tag DO FUL</t>
  </si>
  <si>
    <t>TAG Kalanchoe Pilas 100/100 Pixie Tag DO FUL</t>
  </si>
  <si>
    <t>TAG Kalanchoe Polar Bear 100/100 Pixie Tag DO FUL</t>
  </si>
  <si>
    <t>TAG Kalanchoe Raja 100/100 Pixie Tag DO FUL</t>
  </si>
  <si>
    <t>TAG Kalanchoe Rio 100/100 Pixie Tag DO FUL</t>
  </si>
  <si>
    <t>TAG Kalanchoe Rubio 100/100 Pixie Tag DO FUL</t>
  </si>
  <si>
    <t>TAG Kalanchoe Rudak 100/100 Pixie Tag DO FUL</t>
  </si>
  <si>
    <t>TAG Kalanchoe Saja 100/100 Pixie Tag DO FUL</t>
  </si>
  <si>
    <t>TAG Kalanchoe Silver Strand 100/100 Pixie Tag DO FUL</t>
  </si>
  <si>
    <t>TAG Kalanchoe Soldana 100/100 Pixie Tag DO FUL</t>
  </si>
  <si>
    <t>TAG Kalanchoe Tenorio 100/100 Pixie Tag DO FUL</t>
  </si>
  <si>
    <t>TAG Kalanchoe Theron 100/100 Pixie Tag DO FUL</t>
  </si>
  <si>
    <t>TAG Kalanchoe Thyrsiflora 100/100 Pixie Tag DO FUL</t>
  </si>
  <si>
    <t>TAG Kalanchoe Tomas 100/100 Pixie Tag DO FUL</t>
  </si>
  <si>
    <t>TAG Kalanchoe Tombo 100/100 Pixie Tag DO FUL</t>
  </si>
  <si>
    <t>TAG Kalanchoe Tomentosa 100/100 Pixie Tag DO FUL</t>
  </si>
  <si>
    <t>TAG Kalanchoe Tweed 100/100 Pixie Tag DO FUL</t>
  </si>
  <si>
    <t>TAG Kalanchoe Tylo 100/100 Pixie Tag DO FUL</t>
  </si>
  <si>
    <t>TAG Kalanchoe Villosa 100/100 Pixie Tag DO FUL</t>
  </si>
  <si>
    <t>TAG Kalanchoe Weaver 100/100 Pixie Tag DO FUL</t>
  </si>
  <si>
    <t>TAG Kalanchoe Welch 100/100 Pixie Tag DO FUL</t>
  </si>
  <si>
    <t>TAG Kalanchoe Wevano 100/100 Pixie Tag DO FUL</t>
  </si>
  <si>
    <t>TAG Kalanchoe Whites 100/100 Pixie Tag DO FUL</t>
  </si>
  <si>
    <t>TAG Kalanchoe Wilis 100/100 Pixie Tag DO FUL</t>
  </si>
  <si>
    <t>TAG Kalanchoe York 100/100 Pixie Tag DO FUL</t>
  </si>
  <si>
    <t>TAG Kalanchoe Zeta 100/100 Pixie Tag DO FUL</t>
  </si>
  <si>
    <t>TAG Lamiastrum Herman's Pride 100/100 Pixie Tag DO FUL</t>
  </si>
  <si>
    <t>TAG Lamiastrum Herman's Pride 50/50 Petite Portrait DO FUL</t>
  </si>
  <si>
    <t>TAG Lamium Anne Greenaway 100/100 Pixie Tag DO FUL</t>
  </si>
  <si>
    <t>TAG Lamium Aureum 50/50 Petite Portrait DO FUL</t>
  </si>
  <si>
    <t>TAG Lamium Beacon Silver 100/100 Pixie Tag DO FUL</t>
  </si>
  <si>
    <t>TAG Lamium Ghost 100/100 Pixie Tag DO FUL</t>
  </si>
  <si>
    <t>TAG Lamium Golden Anniversary 100/100 Pixie Tag DO FUL</t>
  </si>
  <si>
    <t>TAG Lamium Orchid Frost 100/100 Pixie Tag DO FUL</t>
  </si>
  <si>
    <t>TAG Lamium Orchid Frost Gold 100/100 Pixie Tag DO FUL</t>
  </si>
  <si>
    <t>TAG Lamium Orchid Frost Grande 100/100 Pixie Tag DO FUL</t>
  </si>
  <si>
    <t>TAG Lamium Pink Pewter 100/100 Pixie Tag DO FUL</t>
  </si>
  <si>
    <t>TAG Lamium Purple Dragon 100/100 Pixie Tag DO FUL</t>
  </si>
  <si>
    <t>TAG Lamium Red Nancy 100/100 Pixie Tag DO FUL</t>
  </si>
  <si>
    <t>TAG Lamium White Nancy 100/100 Pixie Tag DO FUL</t>
  </si>
  <si>
    <t>TAG Lantana Confetti 50/50 Petite Portrait DO FUL</t>
  </si>
  <si>
    <t>TAG Lantana Dallas Red 50/50 Petite Portrait DO FUL</t>
  </si>
  <si>
    <t>TAG Lantana Havana Cherry 50/50 Petite Portrait DO FUL</t>
  </si>
  <si>
    <t>TAG Lantana Havana Full Moon 50/50 Petite Portrait DO FUL</t>
  </si>
  <si>
    <t>TAG Lantana Havana Gold 50/50 Petite Portrait DO FUL</t>
  </si>
  <si>
    <t>TAG Lantana Havana Harvest Moon 50/50 Petite Portrait DO FUL</t>
  </si>
  <si>
    <t>TAG Lantana Havana Lights 50/50 Petite Portrait DO FUL</t>
  </si>
  <si>
    <t>TAG Lantana Havana Nights 50/50 Petite Portrait DO FUL</t>
  </si>
  <si>
    <t>TAG Lantana Havana Pink Sky 50/50 Petite Portrait DO FUL</t>
  </si>
  <si>
    <t>TAG Lantana Havana Red Sky 50/50 Petite Portrait DO FUL</t>
  </si>
  <si>
    <t>TAG Lantana Havana Sky 50/50 Petite Portrait DO FUL</t>
  </si>
  <si>
    <t>TAG Lantana Havana Streets 50/50 Petite Portrait DO FUL</t>
  </si>
  <si>
    <t>TAG Lantana Havana Summer 50/50 Petite Portrait DO FUL</t>
  </si>
  <si>
    <t>TAG Lantana Havana Sunrise 50/50 Petite Portrait DO FUL</t>
  </si>
  <si>
    <t>TAG Lantana Havana Sunset 50/50 Petite Portrait DO FUL</t>
  </si>
  <si>
    <t>TAG Lantana Havana Sunshine 50/50 Petite Portrait DO FUL</t>
  </si>
  <si>
    <t>TAG Lantana Havana Yellow 50/50 Petite Portrait DO FUL</t>
  </si>
  <si>
    <t>TAG Lantana Heartland Blue Moon 50/50 Petite Portrait DO FUL</t>
  </si>
  <si>
    <t>TAG Lantana Heartland Citrus 50/50 Petite Portrait DO FUL</t>
  </si>
  <si>
    <t>TAG Lantana Heartland Neon 50/50 Petite Portrait DO FUL</t>
  </si>
  <si>
    <t>TAG Lantana Heartland Orange 50/50 Petite Portrait DO FUL</t>
  </si>
  <si>
    <t>TAG Lantana Heartland Pink Sunset 50/50 Petite Portrait DO FUL</t>
  </si>
  <si>
    <t>TAG Lantana Heartland Really Red 50/50 Petite Portrait DO FUL</t>
  </si>
  <si>
    <t>TAG Lantana Heartland Red 50/50 Petite Portrait DO FUL</t>
  </si>
  <si>
    <t>TAG Lantana Heartland Sunrise 50/50 Petite Portrait DO FUL</t>
  </si>
  <si>
    <t>TAG Lantana Heartland Sunset 24 50/50 Pixie TAG DO FUL</t>
  </si>
  <si>
    <t>TAG Lantana Heartland White 50/50 Petite Portrait DO FUL</t>
  </si>
  <si>
    <t>TAG Lantana Miss Huff 50/50 Petite Portrait DO FUL</t>
  </si>
  <si>
    <t>TAG Lantana New Gold 50/50 Petite Portrait DO FUL</t>
  </si>
  <si>
    <t>TAG Lantana Lavender Trailing 50/50 Petite Portrait DO FUL</t>
  </si>
  <si>
    <t>TAG Lantana White Trailing 50/50 Petite Portrait DO FUL</t>
  </si>
  <si>
    <t>TAG Lavandula Lavender Anouk 100/100 Pixie Tag DO FUL</t>
  </si>
  <si>
    <t>TAG Lavandula Lavender Big Time Blue 100/100 Pixie Tag DO FUL</t>
  </si>
  <si>
    <t>TAG Lavandula Lavender Blue Jeans 100/100 Pixie Tag DO FUL</t>
  </si>
  <si>
    <t>TAG Lavandula Lavender Blue Spirit Purple Blue 50/50 Petite Portrait DO FUL</t>
  </si>
  <si>
    <t>TAG Lavandula Lavender Dentata French 100/100 Pixie Tag DO FUL</t>
  </si>
  <si>
    <t>TAG Lavandula Lavender Goodwin Creek 100/100 Pixie Tag DO FUL</t>
  </si>
  <si>
    <t>TAG Lavandula Lavender Grosso 100/100 Pixie Tag DO FUL</t>
  </si>
  <si>
    <t>TAG Lavandula Lavender Grosso 50/50 Petite Portrait DO FUL</t>
  </si>
  <si>
    <t>TAG Lavandula Lavender Hidcote Blue 100/100 Pixie Tag DO FUL</t>
  </si>
  <si>
    <t>TAG Lavandula Lavender Imperial 50/50 Petite Portrait DO FUL</t>
  </si>
  <si>
    <t>TAG Lavandula Lavender LaDiva Berry Beautiful 100/100 Pixie Tag DO FUL</t>
  </si>
  <si>
    <t>TAG Lavandula Lavender LaDiva Big Night 100/100 Pixie Tag DO FUL</t>
  </si>
  <si>
    <t>TAG Lavandula Lavender LaDiva Eternal Elegance 100/100 Pixie Tag DO FUL</t>
  </si>
  <si>
    <t>TAG Lavandula Lavender LaDiva Imperial 100/100 Pixie Tag DO FUL</t>
  </si>
  <si>
    <t>TAG Lavandula Lavender LaDiva Imperial Early 100/100 Pixie Tag DO FUL</t>
  </si>
  <si>
    <t>TAG Lavandula Lavender LaDiva Papillion Purple 100/100 Pixie Tag DO FUL</t>
  </si>
  <si>
    <t>TAG Lavandula Lavender LaDiva Papillion Rose 100/100 Pixie Tag DO FUL</t>
  </si>
  <si>
    <t>TAG Lavandula Lavender LaDiva Papillion Deep Rose 100/100 Pixie Tag DO FUL</t>
  </si>
  <si>
    <t>TAG Lavandula Lavender LaDiva Papillon White 100/100 Pixie Tag DO FUL</t>
  </si>
  <si>
    <t>TAG Lavandula Lavender LaDiva Spirit Deep Blue 100/100 Pixie Tag DO FUL</t>
  </si>
  <si>
    <t>TAG Lavandula Lavender LaDiva Spirit Deep Purple 100/100 Pixie Tag DO FUL</t>
  </si>
  <si>
    <t>TAG Lavandula Lavender LaDiva Spirit Purple Blue 100/100 Pixie Tag DO FUL</t>
  </si>
  <si>
    <t>TAG Lavandula Lavender LaDiva Spirit White 100/100 Pixie Tag DO FUL</t>
  </si>
  <si>
    <t>TAG Lavandula Lavender LaDiva Vintage Amethyst 100/100 Pixie Tag DO FUL</t>
  </si>
  <si>
    <t>TAG Lavandula Lavender LaDiva Vintage Violet 100/100 Pixie Tag DO FUL</t>
  </si>
  <si>
    <t>TAG Lavandula Lavender Munstead 100/100 Pixie Tag DO FUL</t>
  </si>
  <si>
    <t>TAG Lavandula Lavender Otto Quast 100/100 Pixie Tag DO FUL</t>
  </si>
  <si>
    <t>TAG Lavandula Lavender LaDiva Papillion Lilac 100/100 Pixie Tag DO FUL</t>
  </si>
  <si>
    <t>TAG Lavandula Lavender LaDiva Papillion Purple 50/50 Petite Portrait DO FUL</t>
  </si>
  <si>
    <t>TAG Lavandula Lavender LaDiva Papillion Rose 50/50 Petite Portrait DO FUL</t>
  </si>
  <si>
    <t>TAG Lavandula Lavender Phenomenal 100/100 Pixie Tag DO FUL</t>
  </si>
  <si>
    <t>TAG Lavandula Lavender Platinum Blonde 100/100 Pixie Tag DO FUL</t>
  </si>
  <si>
    <t>TAG Lavandula Lavender Provence 100/100 Pixie Tag DO FUL</t>
  </si>
  <si>
    <t>TAG Lavandula Lavender Ruffles Blueberry 100/100 Pixie Tag DO FUL</t>
  </si>
  <si>
    <t>TAG Lavandula Lavender SuperBlue 100/100 Pixie Tag DO FUL</t>
  </si>
  <si>
    <t>TAG Lavandula Lavender SuperBlue 50/50 Petite Portrait DO FUL</t>
  </si>
  <si>
    <t>TAG Leucanthemum Adorable 50/50 Petite Portrait DO FUL</t>
  </si>
  <si>
    <t>TAG Leucanthemum Coconut 50/50 Petite Portrait DO FUL</t>
  </si>
  <si>
    <t>TAG Leucanthemum Real Charmer 100/100 Pixie Tag DO FUL</t>
  </si>
  <si>
    <t>TAG Leucanthemum Real Dream 100/100 Pixie Tag DO FUL</t>
  </si>
  <si>
    <t>TAG Leucanthemum Real Galaxy 100/100 Pixie Tag DO FUL</t>
  </si>
  <si>
    <t>TAG Leucanthemum Real Glory 100/100 Pixie Tag DO FUL</t>
  </si>
  <si>
    <t>TAG Leucanthemum Real Neat 100/100 Pixie Tag DO FUL</t>
  </si>
  <si>
    <t>TAG Leucanthemum Real Sunbeam 100/100 Pixie Tag DO FUL</t>
  </si>
  <si>
    <t>TAG Leucanthemum Snowcap 100/100 Pixie Tag DO FUL</t>
  </si>
  <si>
    <t>TAG Leucanthemum Sweet Daisy Birdy 100/100 Pixie Tag DO FUL</t>
  </si>
  <si>
    <t>TAG Leucanthemum Sweet Daisy Cher 100/100 Pixie Tag DO FUL</t>
  </si>
  <si>
    <t>TAG Leucanthemum Sweet Daisy Christine 100/100 Pixie Tag DO FUL</t>
  </si>
  <si>
    <t>TAG Leucanthemum Sweet Daisy Izabel 100/100 Pixie Tag DO FUL</t>
  </si>
  <si>
    <t>TAG Leucanthemum Sweet Daisy Jane 100/100 Pixie Tag DO FUL</t>
  </si>
  <si>
    <t>TAG Leucanthemum Sweet Daisy Rebecca 100/100 Pixie Tag DO FUL</t>
  </si>
  <si>
    <t>TAG Leucanthemum Sweet Daisy Rebecca 50/50 Petite Portrait DO FUL</t>
  </si>
  <si>
    <t>TAG Leucanthemum Sweet Daisy Shelly 100/100 Pixie Tag DO FUL</t>
  </si>
  <si>
    <t>TAG Leucanthemum Sweet Daisy Sofie 100/100 Pixie Tag DO FUL</t>
  </si>
  <si>
    <t>TAG Leucanthemum Sweet Daisy Sofie 50/50 Petite Portrait DO FUL</t>
  </si>
  <si>
    <t>TAG Lithodora Blue Star 100/100 Pixie Tag DO FUL</t>
  </si>
  <si>
    <t>TAG Lithodora Grace Ward 100/100 Pixie Tag DO FUL</t>
  </si>
  <si>
    <t>TAG Lithodora Heavenly Blue 100/100 Pixie Tag DO FUL</t>
  </si>
  <si>
    <t>TAG Lobelia Bella Acqua 50/50 Petite Portrait DO FUL</t>
  </si>
  <si>
    <t>TAG Lobelia Bella Azure 50/50 Petite Portrait DO FUL</t>
  </si>
  <si>
    <t>TAG Lobelia Bella Bianca 50/50 Petite Portrait DO FUL</t>
  </si>
  <si>
    <t>TAG Lobelia Bella Cielo Lobelia 50/50 Petite Portrait DO FUL</t>
  </si>
  <si>
    <t>TAG Lobelia Bella Mare 50/50 Petite Portrait DO FUL</t>
  </si>
  <si>
    <t>TAG Lobelia Bella Oceano 50/50 Petite Portrait DO FUL</t>
  </si>
  <si>
    <t>TAG Lobelia Bella Rosa 50/50 Petite Portrait DO FUL</t>
  </si>
  <si>
    <t>TAG Lobelia Star Cobalt Star 50/50 Petite Portrait DO FUL</t>
  </si>
  <si>
    <t>TAG Lobelia Star Deep Blue Star 50/50 Petite Portrait DO FUL</t>
  </si>
  <si>
    <t>TAG Lobelia Hot Bavaria 50/50 Petite Portrait DO FUL</t>
  </si>
  <si>
    <t>TAG Lobelia Hot Blue 50/50 Petite Portrait DO FUL</t>
  </si>
  <si>
    <t>TAG Lobelia Hot Brilliant Blue 50/50 Petite Portrait DO FUL</t>
  </si>
  <si>
    <t>TAG Lobelia Hot Giant Blue 50/50 Petite Portrait DO FUL</t>
  </si>
  <si>
    <t>TAG Lobelia Hot Plus Aqua 50/50 Petite Portrait DO FUL</t>
  </si>
  <si>
    <t>TAG Lobelia Hot Plus Blue With Eye 50/50 Petite Portrait DO FUL</t>
  </si>
  <si>
    <t>TAG Lobelia Hot Plus Dark Blue With Eye 50/50 Petite Portrait DO FUL</t>
  </si>
  <si>
    <t>TAG Lobelia Hot Plus Pretty Heaven 50/50 Petite Portrait DO FUL</t>
  </si>
  <si>
    <t>TAG Lobelia Hot Plus Rose 50/50 Petite Portrait DO FUL</t>
  </si>
  <si>
    <t>TAG Lobelia Hot Plus White 50/50 Petite Portrait DO FUL</t>
  </si>
  <si>
    <t>TAG Lobelia Hot Purple 50/50 Petite Portrait DO FUL</t>
  </si>
  <si>
    <t>TAG Lobelia Hot Royal Blue 50/50 Petite Portrait DO FUL</t>
  </si>
  <si>
    <t>TAG Lobelia Hot Snow White 50/50 Petite Portrait DO FUL</t>
  </si>
  <si>
    <t>TAG Lobelia Hot Tiger Eyes 50/50 Petite Portrait DO FUL</t>
  </si>
  <si>
    <t>TAG Lobelia Hot Waterblue 50/50 Petite Portrait DO FUL</t>
  </si>
  <si>
    <t>TAG Lobelia Rift Blue 50/50 Petite Portrait DO FUL</t>
  </si>
  <si>
    <t>TAG Lobelia Rift Purple 50/50 Petite Portrait DO FUL</t>
  </si>
  <si>
    <t>TAG Lobelia Star Sailor Star 50/50 Petite Portrait DO FUL</t>
  </si>
  <si>
    <t>TAG Lobelia Star Super Star 50/50 Petite Portrait DO FUL</t>
  </si>
  <si>
    <t>TAG Lobularia Yolo French Vanilla 50/50 Petite Portrait DO FUL</t>
  </si>
  <si>
    <t>TAG Lobularia Yolo Lavender 50/50 Petite Portrait DO FUL</t>
  </si>
  <si>
    <t>TAG Lobularia Yolo Pink 50/50 Petite Portrait DO FUL</t>
  </si>
  <si>
    <t>TAG Lobularia Yolo Top Lavender 50/50 Petite Portrait DO FUL</t>
  </si>
  <si>
    <t>TAG Lobularia Yolo Top Pink 50/50 Petite Portrait DO FUL</t>
  </si>
  <si>
    <t>TAG Lobularia Yolo Top Purple 50/50 Petite Portrait DO FUL</t>
  </si>
  <si>
    <t>TAG Lobularia Yolo Top White 50/50 Petite Portrait DO FUL</t>
  </si>
  <si>
    <t>TAG Lobularia Yolo White 50/50 Petite Portrait DO FUL</t>
  </si>
  <si>
    <t>TAG Lotus Parrot's Beak 50/50 Petite Portrait DO FUL</t>
  </si>
  <si>
    <t>TAG Lysimachia Goldii 100/100 Pixie Tag DO FUL</t>
  </si>
  <si>
    <t>TAG Lysimachia Goldii 50/50 Petite Portrait DO FUL</t>
  </si>
  <si>
    <t>TAG Lysimachia Goldilocks 50/50 Petite Portrait DO FUL</t>
  </si>
  <si>
    <t>TAG Lysimachia Green 100/100 Pixie Tag DO FUL</t>
  </si>
  <si>
    <t>TAG Lysimachia Midnight Sun 50/50 Petite Portrait DO FUL</t>
  </si>
  <si>
    <t>TAG Lysimachia Sunburst 50/50 Petite Portrait DO FUL</t>
  </si>
  <si>
    <t>TAG Lysimachia Yellow 50/50 Petite Portrait DO FUL</t>
  </si>
  <si>
    <t>TAG Mandevilla Flordenia Neon 50/50 Pixie TAG DO FUL</t>
  </si>
  <si>
    <t>TAG Mandevilla Flordenia Pink Blush 50/50 Pixie TAG DO FUL</t>
  </si>
  <si>
    <t>TAG Mandevilla Flordenia Plus White 50/50 Pixie TAG DO FUL</t>
  </si>
  <si>
    <t>TAG Mandevilla Flordenia Plus White Halo 50/50 Pixie TAG DO FUL</t>
  </si>
  <si>
    <t>TAG Mazus Purple 100/100 Pixie Tag DO FUL</t>
  </si>
  <si>
    <t>TAG Mint Apple 100/100 Pixie Tag DO FUL</t>
  </si>
  <si>
    <t>TAG Mint Chocolate 100/100 Pixie Tag DO FUL</t>
  </si>
  <si>
    <t>TAG Mint Kentucky Colonel CN5258 100/100 Pixie Tag DO FUL</t>
  </si>
  <si>
    <t>TAG Mint Orange 100/100 Pixie Tag DO FUL</t>
  </si>
  <si>
    <t>TAG Mint Peppermint 100/100 Pixie Tag DO FUL</t>
  </si>
  <si>
    <t>TAG Mint Pineapple 100/100 Pixie Tag DO FUL</t>
  </si>
  <si>
    <t>TAG Mint Spearmint CN5259 100/100 Pixie Tag DO FUL</t>
  </si>
  <si>
    <t>TAG Monarda Fireball 100/100 Pixie Tag DO FUL</t>
  </si>
  <si>
    <t>TAG Monarda Pocahontas Deep Purple 100/100 Pixie Tag DO FUL</t>
  </si>
  <si>
    <t>TAG Monarda Pocahontas Pink 100/100 Pixie Tag DO FUL</t>
  </si>
  <si>
    <t>TAG Monarda Pocahontas Pink Limited Availability 50/50 Petite Portrait DO FUL</t>
  </si>
  <si>
    <t>TAG Monarda Pocahontas Red Rose 100/100 Pixie Tag DO FUL</t>
  </si>
  <si>
    <t>TAG Monarda Pocahontas Red Rose 50/50 Petite Portrait DO FUL</t>
  </si>
  <si>
    <t>TAG Muehlenbeckia Creeping Wire Vine 50/50 Petite Portrait DO FUL</t>
  </si>
  <si>
    <t>TAG Nemesia Angelart Banana 50/50 Petite Portrait DO FUL</t>
  </si>
  <si>
    <t>TAG Nemesia Angelart Berry Blend 50/50 Petite Portrait DO FUL</t>
  </si>
  <si>
    <t>TAG Nemesia Angelart Cherry 50/50 Petite Portrait DO FUL</t>
  </si>
  <si>
    <t>TAG Nemesia Angelart Grapefruit 50/50 Petite Portrait DO FUL</t>
  </si>
  <si>
    <t>TAG Nemesia Angelart Nectarine 50/50 Petite Portrait DO FUL</t>
  </si>
  <si>
    <t>TAG Nemesia Angelart Orange 50/50 Petite Portrait DO FUL</t>
  </si>
  <si>
    <t>TAG Nemesia Angelart Peach Improved 50/50 Petite Portrait DO FUL</t>
  </si>
  <si>
    <t>TAG Nemesia Angelart Pineapple 50/50 Petite Portrait DO FUL</t>
  </si>
  <si>
    <t>TAG Nemesia Angelart Raspberry 50/50 Petite Portrait DO FUL</t>
  </si>
  <si>
    <t>TAG Nemesia Angelart Watermelon 50/50 Petite Portrait DO FUL</t>
  </si>
  <si>
    <t>TAG Nemesia Blackberry 50/50 Petite Portrait DO FUL</t>
  </si>
  <si>
    <t>TAG Nemesia Blueberry Custard 50/50 Petite Portrait DO FUL</t>
  </si>
  <si>
    <t>TAG Nemesia Bumbleberry 50/50 Petite Portrait DO FUL</t>
  </si>
  <si>
    <t>TAG Nemesia Escential Series 100/100 Pixie Tag DO</t>
  </si>
  <si>
    <t>TAG Nemesia Nessie Plus Deep Red 50/50 Petite Portrait DO FUL</t>
  </si>
  <si>
    <t>TAG Nemesia Nessie Plus Purple 50/50 Petite Portrait DO FUL</t>
  </si>
  <si>
    <t>TAG Nemesia Nessie Plus Yellow 50/50 Petite Portrait DO FUL</t>
  </si>
  <si>
    <t>TAG Nemesia Penhow Cherry Blue 50/50 Petite Portrait DO FUL</t>
  </si>
  <si>
    <t>TAG Nemesia Pinkberry 50/50 Petite Portrait DO FUL</t>
  </si>
  <si>
    <t>TAG Nemesia Raspberry Lemonade 50/50 Petite Portrait DO FUL</t>
  </si>
  <si>
    <t>TAG Nemesia Strawberry 50/50 Petite Portrait DO FUL</t>
  </si>
  <si>
    <t>TAG Nemesia Sugarberry 50/50 Petite Portrait DO FUL</t>
  </si>
  <si>
    <t>TAG Nepeta Junior Walker 100/100 Pixie Tag DO FUL</t>
  </si>
  <si>
    <t>TAG Nepeta Walker's Low 100/100 Pixie Tag DO FUL</t>
  </si>
  <si>
    <t>TAG Nepeta Walker's Low 50/50 Petite Portrait DO FUL</t>
  </si>
  <si>
    <t>TAG Oenothera Siskiyou 100/100 Pixie Tag DO FUL</t>
  </si>
  <si>
    <t>TAG Oenothera Twilight 100/100 Pixie Tag DO FUL</t>
  </si>
  <si>
    <t>TAG Oregano Aureum Golden 50/50 Petite Portrait DO FUL</t>
  </si>
  <si>
    <t>TAG Oregano Compact 50/50 Petite Portrait DO FUL</t>
  </si>
  <si>
    <t>TAG Oregano Greek 100/100 Pixie Tag DO FUL</t>
  </si>
  <si>
    <t>TAG Oregano Greek 50/50 Petite Portrait DO FUL</t>
  </si>
  <si>
    <t>TAG Oregano Hot And Spicy 100/100 Pixie Tag DO FUL</t>
  </si>
  <si>
    <t>TAG Oregano Italian 100/100 Pixie Tag DO FUL</t>
  </si>
  <si>
    <t>TAG Oregano Kent Beauty 100/100 Pixie Tag DO FUL</t>
  </si>
  <si>
    <t>TAG Oregano Kent Beauty 50/50 Petite Portrait DO FUL</t>
  </si>
  <si>
    <t>TAG Oregano Sweet Marjoram 100/100 Pixie Tag DO FUL</t>
  </si>
  <si>
    <t>TAG Oregano Variegated 50/50 Petite Portrait DO FUL</t>
  </si>
  <si>
    <t>TAG Osteospermum Margarita Bronze Bicolor 50/50 Petite Portrait DO FUL</t>
  </si>
  <si>
    <t>TAG Osteospermum Margarita Bronze Flare 50/50 Petite Portrait DO FUL</t>
  </si>
  <si>
    <t>TAG Osteospermum Margarita Cool Purple 50/50 Petite Portrait DO FUL</t>
  </si>
  <si>
    <t>TAG Osteospermum Margarita Creme 50/50 Petite Portrait DO FUL</t>
  </si>
  <si>
    <t>TAG Osteospermum Margarita Dark Lilac 50/50 Petite Portrait DO FUL</t>
  </si>
  <si>
    <t>TAG Osteospermum Margarita Dark Pink 50/50 Petite Portrait DO FUL</t>
  </si>
  <si>
    <t>TAG Osteospermum Margarita Dark Purple 50/50 Petite Portrait DO FUL</t>
  </si>
  <si>
    <t>TAG Osteospermum Margarita Eclipse 50/50 Petite Portrait DO FUL</t>
  </si>
  <si>
    <t>TAG Osteospermum Margarita Golden Yellow 50/50 Pixie TAG DO FUL</t>
  </si>
  <si>
    <t>TAG Osteospermum Margarita Kardinal 50/50 Petite Portrait DO FUL</t>
  </si>
  <si>
    <t>TAG Osteospermum Margarita Lilac 50/50 Petite Portrait DO FUL</t>
  </si>
  <si>
    <t>TAG Osteospermum Margarita Orange Flare 50/50 Petite Portrait DO FUL</t>
  </si>
  <si>
    <t>TAG Osteospermum Margarita Pink Flare 50/50 Petite Portrait DO FUL</t>
  </si>
  <si>
    <t>TAG Osteospermum Margarita Plus Lilac 50/50 Petite Portrait DO FUL</t>
  </si>
  <si>
    <t>TAG Osteospermum Margarita Plus Pink 50/50 Petite Portrait DO FUL</t>
  </si>
  <si>
    <t>TAG Osteospermum Margarita Plus Purple 50/50 Petite Portrait DO FUL</t>
  </si>
  <si>
    <t>TAG Osteospermum Margarita Plus White 50/50 Petite Portrait DO FUL</t>
  </si>
  <si>
    <t>TAG Osteospermum Margarita Plus Yellow 50/50 Petite Portrait DO FUL</t>
  </si>
  <si>
    <t>TAG Osteospermum Margarita Plus Zebra Pink 50/50 Petite Portrait DO FUL</t>
  </si>
  <si>
    <t>TAG Osteospermum Margarita Purple 50/50 Petite Portrait DO FUL</t>
  </si>
  <si>
    <t>TAG Osteospermum Margarita Rioja Red 50/50 Petite Portrait DO FUL</t>
  </si>
  <si>
    <t>TAG Osteospermum Margarita Soft Pink 50/50 Petite Portrait DO FUL</t>
  </si>
  <si>
    <t>TAG Osteospermum Margarita White 50/50 Petite Portrait DO FUL</t>
  </si>
  <si>
    <t>TAG Osteospermum Margarita Yellow Improved 50/50 Petite Portrait DO FUL</t>
  </si>
  <si>
    <t>TAG Osteospermum Summertime Blue Sunrise 50/50 Petite Portrait DO FUL</t>
  </si>
  <si>
    <t>TAG Osteospermum Summertime Kardinal 50/50 Petite Portrait DO FUL</t>
  </si>
  <si>
    <t>TAG Pachyphytum Bracteosum 100/100 Pixie Tag DO FUL</t>
  </si>
  <si>
    <t>TAG Pachystachys Green Carpet 100/100 Pixie Tag DO FUL</t>
  </si>
  <si>
    <t>TAG Pachystachys Green Sheen 100/100 Pixie Tag DO FUL</t>
  </si>
  <si>
    <t>TAG Pachystachys Silver Edge 100/100 Pixie Tag DO FUL</t>
  </si>
  <si>
    <t>TAG Pachystachys Terminalis 100/100 Pixie Tag DO FUL</t>
  </si>
  <si>
    <t>TAG Pachyveria Corvus 100/100 Pixie Tag DO FUL</t>
  </si>
  <si>
    <t>TAG Pachyveria Draco 100/100 Pixie Tag DO FUL</t>
  </si>
  <si>
    <t>TAG Pachyveria Opalina 100/100 Pixie Tag DO FUL</t>
  </si>
  <si>
    <t>TAG Peony Paeoni Corto Bicolor 50/50 Petite Portrait DO FUL</t>
  </si>
  <si>
    <t>TAG Peony Paeoni Corto Pink 50/50 Petite Portrait DO FUL</t>
  </si>
  <si>
    <t>TAG Peony Paeoni Corto Red 50/50 Petite Portrait DO FUL</t>
  </si>
  <si>
    <t>TAG Peony Paeoni Dwarf Pink 50/50 Petite Portrait DO FUL</t>
  </si>
  <si>
    <t>TAG Peony Paeoni Dwarf Red 50/50 Petite Portrait DO FUL</t>
  </si>
  <si>
    <t>TAG Peony Paeoni Happy Maroon 50/50 Petite Portrait DO FUL</t>
  </si>
  <si>
    <t>TAG Peony Paeoni Happy Pink 50/50 Petite Portrait DO FUL</t>
  </si>
  <si>
    <t>TAG Peony Paeoni Happy Red 50/50 Petite Portrait DO FUL</t>
  </si>
  <si>
    <t>TAG Peony Paeoni Happy Salmon 50/50 Petite Portrait DO FUL</t>
  </si>
  <si>
    <t>TAG Peony Paeoni Happy White 50/50 Petite Portrait DO FUL</t>
  </si>
  <si>
    <t>TAG Pansy Celestial Blue Moon 100/100 Pixie Tag DO FUL</t>
  </si>
  <si>
    <t>TAG Pansy Celestial Northern Lights 100/100 Pixie Tag DO FUL</t>
  </si>
  <si>
    <t>TAG Pansy Celestial Starry Night 100/100 Pixie Tag DO FUL</t>
  </si>
  <si>
    <t>TAG Pansy Columbine Limited Availability 50/50 Petite Portrait DO FUL</t>
  </si>
  <si>
    <t>TAG Pansy Etain 100/100 Pixie Tag DO FUL</t>
  </si>
  <si>
    <t>TAG Pansy Magnifi Scent Sunny Jim Limited Availability 100/100 Pixie Tag DO FUL</t>
  </si>
  <si>
    <t>TAG Pansy Magnifi Scent Sweetheart 100/100 Pixie Tag DO FUL</t>
  </si>
  <si>
    <t>TAG Penstemon Dakota Burgundy 50/50 Petite Portrait DO FUL</t>
  </si>
  <si>
    <t>TAG Penstemon Dakota Verde 50/50 Petite Portrait DO FUL</t>
  </si>
  <si>
    <t>TAG Penstemon Peptalk Cerise 100/100 Pixie Tag DO FUL</t>
  </si>
  <si>
    <t>TAG Penstemon Peptalk Hot Pink 100/100 Pixie Tag DO FUL</t>
  </si>
  <si>
    <t>TAG Penstemon PepTalk Mauve 100/100 Pixie Tag DO FUL</t>
  </si>
  <si>
    <t>TAG Penstemon Peptalk Pretty Pink 100/100 Pixie Tag DO FUL</t>
  </si>
  <si>
    <t>TAG Penstemon Peptalk Purple 100/100 Pixie Tag DO FUL</t>
  </si>
  <si>
    <t>TAG Penstemon Peptalk Red 100/100 Pixie Tag DO FUL</t>
  </si>
  <si>
    <t>TAG Penstemon Pristine Blue 100/100 Pixie Tag DO FUL</t>
  </si>
  <si>
    <t>TAG Penstemon Pristine Deep Rose 100/100 Pixie Tag DO FUL</t>
  </si>
  <si>
    <t>TAG Penstemon Pristine Deep Rose 50/50 Petite Portrait DO FUL</t>
  </si>
  <si>
    <t>TAG Penstemon Pristine Lila Purple 100/100 Pixie Tag DO FUL</t>
  </si>
  <si>
    <t>TAG Penstemon Pristine Lipstick 100/100 Pixie Tag DO FUL</t>
  </si>
  <si>
    <t>TAG Penstemon Pristine Nightshade 100/100 Pixie Tag DO FUL</t>
  </si>
  <si>
    <t>TAG Penstemon Pristine Pink 100/100 Pixie Tag DO FUL</t>
  </si>
  <si>
    <t>TAG Penstemon Pristine Primrose 100/100 Pixie Tag DO FUL</t>
  </si>
  <si>
    <t>TAG Penstemon Pristine Princess 100/100 Pixie Tag DO FUL</t>
  </si>
  <si>
    <t>TAG Penstemon Pristine Scarlet 100/100 Pixie Tag DO FUL</t>
  </si>
  <si>
    <t>TAG Pentas Pinata Lavender 50/50 Petite Portrait DO FUL</t>
  </si>
  <si>
    <t>TAG Pentas Pinata Pink 50/50 Petite Portrait DO FUL</t>
  </si>
  <si>
    <t>TAG Pentas Pinata Red 50/50 Petite Portrait DO FUL</t>
  </si>
  <si>
    <t>TAG Pentas Pinata White 50/50 Petite Portrait DO FUL</t>
  </si>
  <si>
    <t>TAG Peperomia Ferreyrae 100/100 Pixie Tag DO FUL</t>
  </si>
  <si>
    <t>TAG Peperomia Graveolens 100/100 Pixie Tag DO FUL</t>
  </si>
  <si>
    <t>TAG Peperomia Marble 100/100 Pixie Tag DO FUL</t>
  </si>
  <si>
    <t>TAG Pericallis Mandala Plus Blue Bicolor 50/50 Petite Portrait DO FUL</t>
  </si>
  <si>
    <t>TAG Pericallis Mandala Plus Magic Purple 50/50 Petite Portrait DO FUL</t>
  </si>
  <si>
    <t>TAG Perovskia CrazyBlue 100/100 Pixie Tag DO FUL</t>
  </si>
  <si>
    <t>TAG Perovskia Jelena 100/100 Pixie Tag DO FUL</t>
  </si>
  <si>
    <t>TAG Perovskia Lacey Blue 100/100 Pixie Tag DO FUL</t>
  </si>
  <si>
    <t>TAG Perovskia Little Spire 100/100 Pixie Tag DO FUL</t>
  </si>
  <si>
    <t>TAG Perovskia Little Spire 50/50 Petite Portrait DO FUL</t>
  </si>
  <si>
    <t>TAG Perovskia Russian Sage 100/100 Pixie Tag DO FUL</t>
  </si>
  <si>
    <t>TAG Perovskia Zasha 100/100 Pixie Tag DO FUL</t>
  </si>
  <si>
    <t>TAG Petunia BigDeal Chocolate Cherries 50/50 Petite Portrait DO FUL</t>
  </si>
  <si>
    <t>TAG Petunia BigDeal Fingerpaint 50/50 Petite Portrait DO FUL</t>
  </si>
  <si>
    <t>TAG Petunia BigDeal Flamenco Dancer 50/50 Petite Portrait DO FUL</t>
  </si>
  <si>
    <t>TAG Petunia BigDeal Hollywood Star 50/50 Petite Portrait DO FUL</t>
  </si>
  <si>
    <t>TAG Petunia BigDeal Pinkadilly Circus 50/50 Petite Portrait DO FUL</t>
  </si>
  <si>
    <t>TAG Petunia BigDeal Roaring Raspberry 50/50 Petite Portrait DO FUL</t>
  </si>
  <si>
    <t>TAG Petunia Constellation Aries 50/50 Petite Portrait DO FUL</t>
  </si>
  <si>
    <t>TAG Petunia Constellation Gemini 50/50 Petite Portrait DO FUL</t>
  </si>
  <si>
    <t>TAG Petunia Constellation Pyxis 50/50 Petite Portrait DO FUL</t>
  </si>
  <si>
    <t>TAG Petunia Constellation Virgo 50/50 Petite Portrait DO FUL</t>
  </si>
  <si>
    <t>TAG Petunia Crazytunia Amarena Cream 50/50 Petite Portrait DO FUL</t>
  </si>
  <si>
    <t>TAG Petunia Crazytunia Berry Frappe 50/50 Petite Portrait DO FUL</t>
  </si>
  <si>
    <t>TAG Petunia Crazytunia Black Mamba 50/50 Petite Portrait DO FUL</t>
  </si>
  <si>
    <t>TAG Petunia Crazytunia Black And White 50/50 Petite Portrait DO FUL</t>
  </si>
  <si>
    <t>TAG Petunia Crazytunia Blackberry Jam 50/50 Petite Portrait DO FUL</t>
  </si>
  <si>
    <t>TAG Petunia Crazytunia Blackberry Mojito 50/50 Petite Portrait DO FUL</t>
  </si>
  <si>
    <t>TAG Petunia Crazytunia Blackberry Cheesecake 50/50 Petite Portrait DO FUL</t>
  </si>
  <si>
    <t>TAG Petunia Crazytunia Blue Ice 50/50 Petite Portrait DO FUL</t>
  </si>
  <si>
    <t>TAG Petunia Crazytunia Blue Picotee 50/50 Petite Portrait DO FUL</t>
  </si>
  <si>
    <t>TAG Petunia Crazytunia Cherry Cheesecake 50/50 Petite Portrait DO FUL</t>
  </si>
  <si>
    <t>TAG Petunia Crazytunia Cherry Jublee 50/50 Petite Portrait DO FUL</t>
  </si>
  <si>
    <t>TAG Petunia Crazytunia Cosmic Pink 50/50 Petite Portrait DO FUL</t>
  </si>
  <si>
    <t>TAG Petunia Crazytunia Cosmic Purple 50/50 Petite Portrait DO FUL</t>
  </si>
  <si>
    <t>TAG Petunia Crazytunia Cosmic Violet 50/50 Pixie TAG DO FUL</t>
  </si>
  <si>
    <t>TAG Petunia Crazytunia Frisky Purple 50/50 Pixie TAG DO FUL</t>
  </si>
  <si>
    <t>TAG Petunia Crazytunia Frisky Red 50/50 Petite Portrait DO FUL</t>
  </si>
  <si>
    <t>TAG Petunia Crazytunia Frisky Violet 50/50 Petite Portrait DO FUL</t>
  </si>
  <si>
    <t>TAG Petunia Crazytunia Iced Berry 50/50 Petite Portrait DO FUL</t>
  </si>
  <si>
    <t>TAG Petunia Crazytunia Knight Rider 50/50 Petite Portrait DO FUL</t>
  </si>
  <si>
    <t>TAG Petunia Crazytunia Lemon Burst 50/50 Petite Portrait DO FUL</t>
  </si>
  <si>
    <t>TAG Petunia Crazytunia Lighthouse Pink 50/50 Petite Portrait DO FUL</t>
  </si>
  <si>
    <t>TAG Petunia Crazytunia Lucky Lilac 50/50 Petite Portrait DO FUL</t>
  </si>
  <si>
    <t>TAG Petunia Crazytunia Magenta Storm 50/50 Petite Portrait DO FUL</t>
  </si>
  <si>
    <t>TAG Petunia Crazytunia Mandeville 50/50 Petite Portrait DO FUL</t>
  </si>
  <si>
    <t>TAG Petunia Crazytunia Moonstruck 50/50 Petite Portrait DO FUL</t>
  </si>
  <si>
    <t>TAG Petunia Crazytunia Nightwatch 50/50 Petite Portrait DO FUL</t>
  </si>
  <si>
    <t>TAG Petunia Crazytunia Passion Punch 50/50 Petite Portrait DO FUL</t>
  </si>
  <si>
    <t>TAG Petunia Crazytunia Patrick Star 50/50 Petite Portrait DO FUL</t>
  </si>
  <si>
    <t>TAG Petunia Crazytunia Peach Bellini 50/50 Petite Portrait DO FUL</t>
  </si>
  <si>
    <t>TAG Petunia Crazytunia Pink Bride 50/50 Petite Portrait DO FUL</t>
  </si>
  <si>
    <t>TAG Petunia Crazytunia Pink Frills 50/50 Petite Portrait DO FUL</t>
  </si>
  <si>
    <t>TAG Petunia Crazytunia Pink Flamingo 50/50 Petite Portrait DO FUL</t>
  </si>
  <si>
    <t>TAG Petunia Crazytunia Pulse 50/50 Petite Portrait DO FUL</t>
  </si>
  <si>
    <t>TAG Petunia Crazytunia Purple Storm 50/50 Petite Portrait DO FUL</t>
  </si>
  <si>
    <t>TAG Petunia Crazytunia Razzmatazz 50/50 Petite Portrait DO FUL</t>
  </si>
  <si>
    <t>TAG Petunia Crazytunia Red Blues 50/50 Petite Portrait DO FUL</t>
  </si>
  <si>
    <t>TAG Petunia Crazytunia Star Fruit 50/50 Petite Portrait DO FUL</t>
  </si>
  <si>
    <t>TAG Petunia Crazytunia Sugar Beet 50/50 Pixie TAG DO FUL</t>
  </si>
  <si>
    <t>TAG Petunia Crazytunia Terracotta 50/50 Petite Portrait DO FUL</t>
  </si>
  <si>
    <t>TAG Petunia Crazytunia Tiki Torch 50/50 Petite Portrait DO FUL</t>
  </si>
  <si>
    <t>TAG Petunia Crazytunia Ultra Cardinal Blue 50/50 Petite Portrait DO FUL</t>
  </si>
  <si>
    <t>TAG Petunia Double Stuff Bordeaux Star 50/50 Pixie TAG DO FUL</t>
  </si>
  <si>
    <t>TAG Petunia Double Stuff Burgundy Star 50/50 Pixie TAG DO FUL</t>
  </si>
  <si>
    <t>TAG Petunia Double Stuff Violet Star 50/50 Pixie TAG DO FUL</t>
  </si>
  <si>
    <t>TAG Petunia Durabloom Blue Vein 50/50 Petite Portrait DO FUL</t>
  </si>
  <si>
    <t>TAG Petunia Durabloom Electric Lilac 50/50 Petite Portrait DO FUL</t>
  </si>
  <si>
    <t>TAG Petunia Durabloom Hot Pink 50/50 Petite Portrait DO FUL</t>
  </si>
  <si>
    <t>TAG Petunia Durabloom Purple 50/50 Petite Portrait DO FUL</t>
  </si>
  <si>
    <t>TAG Petunia Durabloom Red 50/50 Petite Portrait DO FUL</t>
  </si>
  <si>
    <t>TAG Petunia Durabloom Royal Pink 50/50 Petite Portrait DO FUL</t>
  </si>
  <si>
    <t>TAG Petunia Durabloom Silver 50/50 Petite Portrait DO FUL</t>
  </si>
  <si>
    <t>TAG Petunia Durabloom Soft Pink 50/50 Petite Portrait DO FUL</t>
  </si>
  <si>
    <t>TAG Petunia Durabloom Watermelon 50/50 Petite Portrait DO FUL</t>
  </si>
  <si>
    <t>TAG Petunia Durabloom White 50/50 Petite Portrait DO FUL</t>
  </si>
  <si>
    <t>TAG Petunia Durabloom Yellow 50/50 Petite Portrait DO FUL</t>
  </si>
  <si>
    <t>TAG Petunia Flower Shower Blue 50/50 Pixie TAG DO FUL</t>
  </si>
  <si>
    <t>TAG Petunia Flower Shower Flame 50/50 Petite Portrait DO FUL</t>
  </si>
  <si>
    <t>TAG Petunia Flower Shower Mayan Sunset 50/50 Petite Portrait DO FUL</t>
  </si>
  <si>
    <t>TAG Petunia Flower Shower Patrick Star 50/50 Petite Portrait DO FUL</t>
  </si>
  <si>
    <t>TAG Petunia Flower Shower Ringo Str 50/50 Pixie TAG DO FUL</t>
  </si>
  <si>
    <t>TAG Petunia Flower Shower White 50/50 Petite Portrait DO FUL</t>
  </si>
  <si>
    <t>TAG Petunia Flower Shower Ziggy Star 50/50 Petite Portrait DO FUL</t>
  </si>
  <si>
    <t>TAG Petunia Fortunia Blackberry Gem 50/50 Petite Portrait DO FUL</t>
  </si>
  <si>
    <t>TAG Petunia Fortunia Coral Gem 50/50 Petite Portrait DO FUL</t>
  </si>
  <si>
    <t>TAG Petunia Fortunia Early Blue 50/50 Petite Portrait DO FUL</t>
  </si>
  <si>
    <t>TAG Petunia Fortunia Early Dark Purple 50/50 Petite Portrait DO FUL</t>
  </si>
  <si>
    <t>TAG Petunia Fortunia Early Pink Gem 50/50 Petite Portrait DO FUL</t>
  </si>
  <si>
    <t>TAG Petunia Fortunia Early Pink Lemonade 50/50 Petite Portrait DO FUL</t>
  </si>
  <si>
    <t>TAG Petunia Fortunia Early Red 50/50 Petite Portrait DO FUL</t>
  </si>
  <si>
    <t>TAG Petunia Fortunia Early White 50/50 Petite Portrait DO FUL</t>
  </si>
  <si>
    <t>TAG Petunia Fortunia Early Yellow 50/50 Petite Portrait DO FUL</t>
  </si>
  <si>
    <t>TAG Petunia Fortunia Purple Gem 50/50 Petite Portrait DO FUL</t>
  </si>
  <si>
    <t>TAG Petunia Hell's Flamin' Rose 50/50 Petite Portrait DO FUL</t>
  </si>
  <si>
    <t>TAG Petunia Hell's Fusion 50/50 Petite Portrait DO FUL</t>
  </si>
  <si>
    <t>TAG Petunia Hell's Glow 50/50 Petite Portrait DO FUL</t>
  </si>
  <si>
    <t>TAG Petunia Hot Pink Jazz Trailing 50/50 Petite Portrait DO FUL</t>
  </si>
  <si>
    <t>TAG Petunia Origami 50/50 Petite Portrait DO FUL</t>
  </si>
  <si>
    <t>TAG Petunia Origami Burgundy 50/50 Petite Portrait DO FUL</t>
  </si>
  <si>
    <t>TAG Petunia Origami Marine 50/50 Petite Portrait DO FUL</t>
  </si>
  <si>
    <t>TAG Petunia Origami Pink 50/50 Petite Portrait DO FUL</t>
  </si>
  <si>
    <t>TAG Petunia Origami Pink Star 50/50 Petite Portrait DO FUL</t>
  </si>
  <si>
    <t>TAG Petunia Origami Watermelon 50/50 Petite Portrait DO FUL</t>
  </si>
  <si>
    <t>TAG Petunia Origami White 50/50 Petite Portrait DO FUL</t>
  </si>
  <si>
    <t>TAG Petunia Peppy Blue 50/50 Petite Portrait DO FUL</t>
  </si>
  <si>
    <t>TAG Petunia Peppy Burgundy 50/50 Petite Portrait DO FUL</t>
  </si>
  <si>
    <t>TAG Petunia Peppy Cerise 50/50 Petite Portrait DO FUL</t>
  </si>
  <si>
    <t>TAG Petunia Peppy Pink 50/50 Petite Portrait DO FUL</t>
  </si>
  <si>
    <t>TAG Petunia Peppy Pink Vein 50/50 Petite Portrait DO FUL</t>
  </si>
  <si>
    <t>TAG Petunia Peppy Plum 50/50 Petite Portrait DO FUL</t>
  </si>
  <si>
    <t>TAG Petunia Peppy Purple 50/50 Petite Portrait DO FUL</t>
  </si>
  <si>
    <t>TAG Petunia Peppy Red 50/50 Petite Portrait DO FUL</t>
  </si>
  <si>
    <t>TAG Petunia Peppy Sunset 50/50 Petite Portrait DO FUL</t>
  </si>
  <si>
    <t>TAG Petunia Pinkerbelle 50/50 Petite Portrait DO FUL</t>
  </si>
  <si>
    <t>TAG Petunia Pismo Beach 50/50 Petite Portrait DO FUL</t>
  </si>
  <si>
    <t>TAG Petunia Potunia Blueberry Muffin 50/50 Petite Portrait DO FUL</t>
  </si>
  <si>
    <t>TAG Petunia Potunia Cappuccino 50/50 Petite Portrait DO FUL</t>
  </si>
  <si>
    <t>TAG Petunia Potunia Cobalt Blue 50/50 Petite Portrait DO FUL</t>
  </si>
  <si>
    <t>TAG Petunia Potunia Coral 50/50 Petite Portrait DO FUL</t>
  </si>
  <si>
    <t>TAG Petunia Potunia Cotton Candy 50/50 Petite Portrait DO FUL</t>
  </si>
  <si>
    <t>TAG Petunia Potunia Dark Red 50/50 Petite Portrait DO FUL</t>
  </si>
  <si>
    <t>TAG Petunia Potunia Piccola Blue Ice 50/50 Petite Portrait DO FUL</t>
  </si>
  <si>
    <t>TAG Petunia Potunia Piccola Grape Ice 50/50 Petite Portrait DO FUL</t>
  </si>
  <si>
    <t>TAG Petunia Potunia Piccola Hot Pink 50/50 Petite Portrait DO FUL</t>
  </si>
  <si>
    <t>TAG Petunia Potunia Piccola Lavender Touch 50/50 Petite Portrait DO FUL</t>
  </si>
  <si>
    <t>TAG Petunia Potunia Piccola Lilac Blue 50/50 Petite Portrait DO FUL</t>
  </si>
  <si>
    <t>TAG Petunia Potunia Piccola Magenta Star 50/50 Petite Portrait DO FUL</t>
  </si>
  <si>
    <t>TAG Petunia Potunia Piccola Pink 50/50 Petite Portrait DO FUL</t>
  </si>
  <si>
    <t>TAG Petunia Potunia Piccola White 50/50 Petite Portrait DO FUL</t>
  </si>
  <si>
    <t>TAG Petunia Potunia Pink Orchid 50/50 Petite Portrait DO FUL</t>
  </si>
  <si>
    <t>TAG Petunia Potunia Plus Baby Pink 50/50 Petite Portrait DO FUL</t>
  </si>
  <si>
    <t>TAG Petunia Potunia Plus Black Satin 50/50 Petite Portrait DO FUL</t>
  </si>
  <si>
    <t>TAG Petunia Potunia Plus Blue Vein 50/50 Petite Portrait DO FUL</t>
  </si>
  <si>
    <t>TAG Petunia Potunia Plus Burgundy 50/50 Petite Portrait DO FUL</t>
  </si>
  <si>
    <t>TAG Petunia Potunia Plus Coral 50/50 Petite Portrait DO FUL</t>
  </si>
  <si>
    <t>TAG Petunia Potunia Plus Denim 50/50 Petite Portrait DO FUL</t>
  </si>
  <si>
    <t>TAG Petunia Potunia Plus Neon 50/50 Petite Portrait DO FUL</t>
  </si>
  <si>
    <t>TAG Petunia Potunia Plus Papaya 50/50 Petite Portrait DO FUL</t>
  </si>
  <si>
    <t>TAG Petunia Potunia Plus Pinkalics 50/50 Petite Portrait DO FUL</t>
  </si>
  <si>
    <t>TAG Petunia Potunia Plus Purple 50/50 Petite Portrait DO FUL</t>
  </si>
  <si>
    <t>TAG Petunia Potunia Plus Red 50/50 Petite Portrait DO FUL</t>
  </si>
  <si>
    <t>TAG Petunia Potunia Plus Soft Pink Morn 50/50 Petite Portrait DO FUL</t>
  </si>
  <si>
    <t>TAG Petunia Potunia Plus Spun Sugar 50/50 Petite Portrait DO FUL</t>
  </si>
  <si>
    <t>TAG Petunia Potunia Plus White 50/50 Petite Portrait DO FUL</t>
  </si>
  <si>
    <t>TAG Petunia Potunia Plus Yellow 50/50 Petite Portrait DO FUL</t>
  </si>
  <si>
    <t>TAG Petunia Potunia Popcorn 50/50 Petite Portrait DO FUL</t>
  </si>
  <si>
    <t>TAG Petunia Potunia Purple Halo 50/50 Petite Portrait DO FUL</t>
  </si>
  <si>
    <t>TAG Petunia Potunia Starfish 50/50 Petite Portrait DO FUL</t>
  </si>
  <si>
    <t>TAG Petunia Potunia White 50/50 Petite Portrait DO FUL</t>
  </si>
  <si>
    <t>TAG Petunia Smartunia Purple Vein 50/50 Petite Portrait DO FUL</t>
  </si>
  <si>
    <t>TAG Petunia Smartunia Windmill Black 50/50 Petite Portrait DO FUL</t>
  </si>
  <si>
    <t>TAG Petunia Smartunia Windmill Pink 50/50 Petite Portrait DO FUL</t>
  </si>
  <si>
    <t>TAG Petunia Smartunia Windmill Red 50/50 Petite Portrait DO FUL</t>
  </si>
  <si>
    <t>TAG Petunia Surprise Amethyst Halo 50/50 Petite Portrait DO FUL</t>
  </si>
  <si>
    <t>TAG Petunia Surprise Blue 50/50 Petite Portrait DO FUL</t>
  </si>
  <si>
    <t>TAG Petunia Surprise Blue Sky 50/50 Petite Portrait DO FUL</t>
  </si>
  <si>
    <t>TAG Petunia Surprise Blue Star 50/50 Petite Portrait DO FUL</t>
  </si>
  <si>
    <t>TAG Petunia Surprise Burgundy Star 50/50 Petite Portrait DO FUL</t>
  </si>
  <si>
    <t>TAG Petunia Surprise Cobalt Blue 50/50 Petite Portrait DO FUL</t>
  </si>
  <si>
    <t>TAG Petunia Surprise Fire Engine Red 50/50 Petite Portrait DO FUL</t>
  </si>
  <si>
    <t>TAG Petunia Surprise Grape 50/50 Petite Portrait DO FUL</t>
  </si>
  <si>
    <t>TAG Petunia Surprise Green Tambourine 50/50 Petite Portrait DO FUL</t>
  </si>
  <si>
    <t>TAG Petunia Surprise Hot Pink 50/50 Petite Portrait DO FUL</t>
  </si>
  <si>
    <t>TAG Petunia Surprise Jolly Yellow 50/50 Petite Portrait DO FUL</t>
  </si>
  <si>
    <t>TAG Petunia Surprise Kardinal Vein 50/50 Petite Portrait DO FUL</t>
  </si>
  <si>
    <t>TAG Petunia Surprise Lovepink 50/50 Petite Portrait DO FUL</t>
  </si>
  <si>
    <t>TAG Petunia Surprise Magenta Halo 50/50 Petite Portrait DO FUL</t>
  </si>
  <si>
    <t>TAG Petunia Surprise Mardi Gras 50/50 Petite Portrait DO FUL</t>
  </si>
  <si>
    <t>TAG Petunia Surprise Marine 50/50 Petite Portrait DO FUL</t>
  </si>
  <si>
    <t>TAG Petunia Surprise Monarch Star 50/50 Petite Portrait DO FUL</t>
  </si>
  <si>
    <t>TAG Petunia Surprise Moonlight Bay 50/50 Petite Portrait DO FUL</t>
  </si>
  <si>
    <t>TAG Petunia Surprise Neon 50/50 Petite Portrait DO FUL</t>
  </si>
  <si>
    <t>TAG Petunia Surprise Pink Orchid 50/50 Petite Portrait DO FUL</t>
  </si>
  <si>
    <t>TAG Petunia Surprise Pinkalicious 50/50 Petite Portrait DO FUL</t>
  </si>
  <si>
    <t>TAG Petunia Surprise Purple Dance 50/50 Petite Portrait DO FUL</t>
  </si>
  <si>
    <t>TAG Petunia Surprise Purple Sky 50/50 Petite Portrait DO FUL</t>
  </si>
  <si>
    <t>TAG Petunia Surprise Purple Star 50/50 Petite Portrait DO FUL</t>
  </si>
  <si>
    <t>TAG Petunia Surprise Raspberry Jam 50/50 Petite Portrait DO FUL</t>
  </si>
  <si>
    <t>TAG Petunia Surprise Red 50/50 Petite Portrait DO FUL</t>
  </si>
  <si>
    <t>TAG Petunia Surprise Sparkle Blue 50/50 Petite Portrait DO FUL</t>
  </si>
  <si>
    <t>TAG Petunia Surprise Sparkle Burgundy 50/50 Petite Portrait DO FUL</t>
  </si>
  <si>
    <t>TAG Petunia Surprise Sparkle Magnt 50/50 Petite Portrait DO FUL</t>
  </si>
  <si>
    <t>TAG Petunia Surprise Sparkle Purple 50/50 Petite Portrait DO FUL</t>
  </si>
  <si>
    <t>TAG Petunia Surprise Sparkle Red 50/50 Petite Portrait DO FUL</t>
  </si>
  <si>
    <t>TAG Petunia Surprise Strawberry Ice 19 50/50 Petite Portrait DO FUL</t>
  </si>
  <si>
    <t>TAG Petunia Surprise Tie Dye Pink 50/50 Petite Portrait DO FUL</t>
  </si>
  <si>
    <t>TAG Petunia Surprise Tie Dye Violet 50/50 Petite Portrait DO FUL</t>
  </si>
  <si>
    <t>TAG Petunia Surprise White 50/50 Petite Portrait DO FUL</t>
  </si>
  <si>
    <t>TAG Petunia Surprise White Orchid 50/50 Petite Portrait DO FUL</t>
  </si>
  <si>
    <t>TAG Petunia Surprise Yellow 50/50 Petite Portrait DO FUL</t>
  </si>
  <si>
    <t>TAG Petunia Sweetunia Black Satin 50/50 Petite Portrait DO FUL</t>
  </si>
  <si>
    <t>TAG Petunia Sweetunia Blueberry Ice 50/50 Petite Portrait DO FUL</t>
  </si>
  <si>
    <t>TAG Petunia Sweetunia Bubblelou 50/50 Petite Portrait DO FUL</t>
  </si>
  <si>
    <t>TAG Petunia Sweetunia Coral Flash 50/50 Petite Portrait DO FUL</t>
  </si>
  <si>
    <t>TAG Petunia Sweetunia Fiona Flash 50/50 Petite Portrait DO FUL</t>
  </si>
  <si>
    <t>TAG Petunia Sweetunia Hot Pink 50/50 Petite Portrait DO FUL</t>
  </si>
  <si>
    <t>TAG Petunia Sweetunia Hot Pink Lemond 50/50 Petite Portrait DO FUL</t>
  </si>
  <si>
    <t>TAG Petunia Sweetunia Hot Pink Touch 50/50 Petite Portrait DO FUL</t>
  </si>
  <si>
    <t>TAG Petunia Sweetunia Hot Rod Red 50/50 Petite Portrait DO FUL</t>
  </si>
  <si>
    <t>TAG Petunia Sweetunia Johnny Flame 50/50 Petite Portrait DO FUL</t>
  </si>
  <si>
    <t>TAG Petunia Sweetunia Lavender Shimmer 50/50 Petite Portrait DO FUL</t>
  </si>
  <si>
    <t>TAG Petunia Sweetunia Light Pink Touch 50/50 Petite Portrait DO FUL</t>
  </si>
  <si>
    <t>TAG Petunia Sweetunia Miss Marvelous 50/50 Petite Portrait DO FUL</t>
  </si>
  <si>
    <t>TAG Petunia Sweetunia Pink Lemonade 50/50 Petite Portrait DO FUL</t>
  </si>
  <si>
    <t>TAG Petunia Sweetunia Pink Touch 50/50 Petite Portrait DO FUL</t>
  </si>
  <si>
    <t>TAG Petunia Sweetunia Popcorn 50/50 Petite Portrait DO FUL</t>
  </si>
  <si>
    <t>TAG Petunia Sweetunia Purple Gem 50/50 Petite Portrait DO FUL</t>
  </si>
  <si>
    <t>TAG Petunia Sweetunia Purple Spotlight 50/50 Petite Portrait DO FUL</t>
  </si>
  <si>
    <t>TAG Petunia Sweetunia Purple Star 50/50 Petite Portrait DO FUL</t>
  </si>
  <si>
    <t>TAG Petunia Sweetunia Purple Touch 50/50 Petite Portrait DO FUL</t>
  </si>
  <si>
    <t>TAG Petunia Sweetunia Purple Vein 50/50 Petite Portrait DO FUL</t>
  </si>
  <si>
    <t>TAG Petunia Sweetunia Raspberry Lemonade 50/50 Petite Portrait DO FUL</t>
  </si>
  <si>
    <t>TAG Petunia Sweetunia Rose Shimmer 50/50 Petite Portrait DO FUL</t>
  </si>
  <si>
    <t>TAG Petunia Sweetunia Strawberry Morning 50/50 Petite Portrait DO FUL</t>
  </si>
  <si>
    <t>TAG Petunia Sweetunia Suzie Storm 50/50 Petite Portrait DO FUL</t>
  </si>
  <si>
    <t>TAG Petunia Sweetunia White 50/50 Petite Portrait DO FUL</t>
  </si>
  <si>
    <t>TAG Petunia Sweetunia Windmill Cherry 50/50 Petite Portrait DO FUL</t>
  </si>
  <si>
    <t>TAG Petunia Sweetunia Windmill Purple 50/50 Petite Portrait DO FUL</t>
  </si>
  <si>
    <t>TAG Phlox Amazing Grace 100/100 Pixie Tag DO FUL</t>
  </si>
  <si>
    <t>TAG Phlox Blue Moon 100/100 Pixie Tag DO FUL</t>
  </si>
  <si>
    <t>TAG Phlox Candy Stripe 100/100 Pixie Tag DO FUL</t>
  </si>
  <si>
    <t>TAG Phlox Candy Stripe 50/50 Petite Portrait DO FUL</t>
  </si>
  <si>
    <t>TAG Phlox Chattahoochee 100/100 Pixie Tag DO FUL</t>
  </si>
  <si>
    <t>TAG Phlox Chattahoochee 50/50 Petite Portrait DO FUL</t>
  </si>
  <si>
    <t>TAG Phlox Crimson Beauty 50/50 Petite Portrait DO FUL</t>
  </si>
  <si>
    <t>TAG Phlox Drummond's Pink 100/100 Pixie Tag DO FUL</t>
  </si>
  <si>
    <t>TAG Phlox Drummond's Pink 50/50 Petite Portrait DO FUL</t>
  </si>
  <si>
    <t>TAG Phlox Early Blush Pop 100/100 Pixie Tag DO FUL</t>
  </si>
  <si>
    <t>TAG Phlox Early Cerise 100/100 Pixie Tag DO FUL</t>
  </si>
  <si>
    <t>TAG Phlox Early Cerise 50/50 Petite Portrait DO FUL</t>
  </si>
  <si>
    <t>TAG Phlox Early Lavender Pop 100/100 Pixie Tag DO FUL</t>
  </si>
  <si>
    <t>TAG Phlox Early Magenta 100/100 Pixie Tag DO FUL</t>
  </si>
  <si>
    <t>TAG Phlox Early Magenta 50/50 Petite Portrait DO FUL</t>
  </si>
  <si>
    <t>TAG Phlox Early Pink 100/100 Pixie Tag DO FUL</t>
  </si>
  <si>
    <t>TAG Phlox Early Pink 50/50 Petite Portrait DO FUL</t>
  </si>
  <si>
    <t>TAG Phlox Early Pink Candy 100/100 Pixie Tag DO FUL</t>
  </si>
  <si>
    <t>TAG Phlox Early Pink Eye 50/50 Petite Portrait DO FUL</t>
  </si>
  <si>
    <t>TAG Phlox Early Purple Eye 100/100 Pixie Tag DO FUL</t>
  </si>
  <si>
    <t>TAG Phlox Early Red 100/100 Pixie Tag DO FUL</t>
  </si>
  <si>
    <t>TAG Phlox Early White 100/100 Pixie Tag DO FUL</t>
  </si>
  <si>
    <t>TAG Phlox Emerald Blue 50/50 Petite Portrait DO FUL</t>
  </si>
  <si>
    <t>TAG Phlox Emerald Blue CN5344 100/100 Pixie Tag DO FUL</t>
  </si>
  <si>
    <t>TAG Phlox Emerald Pink 50/50 Petite Portrait DO FUL</t>
  </si>
  <si>
    <t>TAG Phlox Flame Blue 25/25 Portrait Tag DO</t>
  </si>
  <si>
    <t>TAG Phlox Flame Coral 100/100 Pixie Tag DO FUL</t>
  </si>
  <si>
    <t>TAG Phlox Flame Coral 25/25 Portrait Tag DO</t>
  </si>
  <si>
    <t>TAG Phlox Flame Coral 50/50 Petite Portrait DO FUL</t>
  </si>
  <si>
    <t>TAG Phlox Flame Light Blue 100/100 Pixie Tag DO FUL</t>
  </si>
  <si>
    <t>TAG Phlox Flame Light Blue 25/25 Portrait Tag DO</t>
  </si>
  <si>
    <t>TAG Phlox Flame Light Pink 100/100 Pixie Tag DO FUL</t>
  </si>
  <si>
    <t>TAG Phlox Flame Light Pink 25/25 Portrait Tag DO</t>
  </si>
  <si>
    <t>TAG Phlox Flame Light Pink 50/50 Petite Portrait DO FUL</t>
  </si>
  <si>
    <t>TAG Phlox Flame Lilac 25/25 Portrait Tag DO</t>
  </si>
  <si>
    <t>TAG Phlox Flame Lilac Star 100/100 Pixie Tag DO FUL</t>
  </si>
  <si>
    <t>TAG Phlox Flame Lilac Star 25/25 Portrait Tag DO</t>
  </si>
  <si>
    <t>TAG Phlox Flame Marine 25/25 Portrait Tag DO</t>
  </si>
  <si>
    <t>TAG Phlox Flame Pink 100/100 Pixie Tag DO FUL</t>
  </si>
  <si>
    <t>TAG Phlox Flame Pink 25/25 Portrait Tag DO</t>
  </si>
  <si>
    <t>TAG Phlox Flame Pink Eye 25/25 Portrait Tag DO</t>
  </si>
  <si>
    <t>TAG Phlox Flame Pro Baby DO FULll 100/100 Pixie Tag DO FUL</t>
  </si>
  <si>
    <t>TAG Phlox Flame Pro Baby DO FULll 50/50 Petite Portrait DO FUL</t>
  </si>
  <si>
    <t>TAG Phlox Flame Pro Cerise 100/100 Pixie Tag DO FUL</t>
  </si>
  <si>
    <t>TAG Phlox Flame Pro Cerise 50/50 Petite Portrait DO FUL</t>
  </si>
  <si>
    <t>TAG Phlox Flame Pro Lilac 100/100 Pixie Tag DO FUL</t>
  </si>
  <si>
    <t>TAG Phlox Flame Pro Lilac 50/50 Petite Portrait DO FUL</t>
  </si>
  <si>
    <t>TAG Phlox Flame Pro Pink Pop 100/100 Pixie Tag DO FUL</t>
  </si>
  <si>
    <t>TAG Phlox Flame Pro Purple 100/100 Pixie Tag DO FUL</t>
  </si>
  <si>
    <t>TAG Phlox Flame Pro Purple 50/50 Petite Portrait DO FUL</t>
  </si>
  <si>
    <t>TAG Phlox Flame Pro Rose Pink 100/100 Pixie Tag DO FUL</t>
  </si>
  <si>
    <t>TAG Phlox Flame Pro Violet Charme 100/100 Pixie Tag DO FUL</t>
  </si>
  <si>
    <t>TAG Phlox Flame Purple 100/100 Pixie Tag DO FUL</t>
  </si>
  <si>
    <t>TAG Phlox Flame Purple 25/25 Portrait Tag DO</t>
  </si>
  <si>
    <t>TAG Phlox Flame Purple 50/50 Petite Portrait DO FUL</t>
  </si>
  <si>
    <t>TAG Phlox Flame Purple Eye 100/100 Pixie Tag DO FUL</t>
  </si>
  <si>
    <t>TAG Phlox Flame Purple Eye 25/25 Portrait Tag DO</t>
  </si>
  <si>
    <t>TAG Phlox Flame Purple Eye 50/50 Petite Portrait DO FUL</t>
  </si>
  <si>
    <t>TAG Phlox Flame Red 100/100 Pixie Tag DO FUL</t>
  </si>
  <si>
    <t>TAG Phlox Flame Red 25/25 Portrait Tag DO</t>
  </si>
  <si>
    <t>TAG Phlox Flame Ruby 50/50 Petite Portrait DO FUL</t>
  </si>
  <si>
    <t>TAG Phlox Flame Violet 50/50 Petite Portrait DO FUL</t>
  </si>
  <si>
    <t>TAG Phlox Flame Watermelon 100/100 Pixie Tag DO FUL</t>
  </si>
  <si>
    <t>TAG Phlox Flame Watermelon 25/25 Portrait Tag DO</t>
  </si>
  <si>
    <t>TAG Phlox Flame White 100/100 Pixie Tag DO FUL</t>
  </si>
  <si>
    <t>TAG Phlox Flame White 25/25 Portrait Tag DO</t>
  </si>
  <si>
    <t>TAG Phlox Flame White 50/50 Petite Portrait DO FUL</t>
  </si>
  <si>
    <t>TAG Phlox Flame White Eye 100/100 Pixie Tag DO FUL</t>
  </si>
  <si>
    <t>TAG Phlox Flame White Eye 25/25 Portrait Tag DO</t>
  </si>
  <si>
    <t>TAG Phlox Fort Hill 100/100 Pixie Tag DO FUL</t>
  </si>
  <si>
    <t>TAG Phlox Fort Hill 50/50 Petite Portrait DO FUL</t>
  </si>
  <si>
    <t>TAG Phlox Laura 50/50 Petite Portrait DO FUL</t>
  </si>
  <si>
    <t>TAG Phlox May Breeze 100/100 Pixie Tag DO FUL</t>
  </si>
  <si>
    <t>TAG Phlox Phloxy Lady Cherry Red 50/50 Petite Portrait DO FUL</t>
  </si>
  <si>
    <t>TAG Phlox Phloxy Lady Hot Pink 50/50 Petite Portrait DO FUL</t>
  </si>
  <si>
    <t>TAG Phlox Phloxy Lady Purple 50/50 Petite Portrait DO FUL</t>
  </si>
  <si>
    <t>TAG Phlox Phloxy Lady Purple Sky 50/50 Petite Portrait DO FUL</t>
  </si>
  <si>
    <t>TAG Phlox Phloxy Lady White 50/50 Petite Portrait DO FUL</t>
  </si>
  <si>
    <t>TAG Phlox Purple Beauty 100/100 Pixie Tag DO FUL</t>
  </si>
  <si>
    <t>TAG Phlox Red Wings 50/50 Petite Portrait DO FUL</t>
  </si>
  <si>
    <t>TAG Phlox Scarlet Flame 100/100 Pixie Tag DO FUL</t>
  </si>
  <si>
    <t>TAG Phlox Scarlet Flame CR4431 50/50 Petite Portrait DO FUL</t>
  </si>
  <si>
    <t>TAG Phlox Spring Blue 100/100 Pixie Tag DO FUL</t>
  </si>
  <si>
    <t>TAG Phlox Spring Hot Pink 100/100 Pixie Tag DO FUL</t>
  </si>
  <si>
    <t>TAG Phlox Spring Late Pink 100/100 Pixie Tag DO FUL</t>
  </si>
  <si>
    <t>TAG Phlox Spring Late White 100/100 Pixie Tag DO FUL</t>
  </si>
  <si>
    <t>TAG Phlox Spring Lavender 100/100 Pixie Tag DO FUL</t>
  </si>
  <si>
    <t>TAG Phlox Spring Light Pink 100/100 Pixie Tag DO FUL</t>
  </si>
  <si>
    <t>TAG Phlox Spring Lilac 100/100 Pixie Tag DO FUL</t>
  </si>
  <si>
    <t>TAG Phlox Spring Pink 100/100 Pixie Tag DO FUL</t>
  </si>
  <si>
    <t>TAG Phlox Spring Pink Dark Eye 100/100 Pixie Tag DO FUL</t>
  </si>
  <si>
    <t>TAG Phlox Spring Purple 100/100 Pixie Tag DO FUL</t>
  </si>
  <si>
    <t>TAG Phlox Spring Purple Limited Availability 50/50 Petite Portrait DO FUL</t>
  </si>
  <si>
    <t>TAG Phlox Spring Scarlet 100/100 Pixie Tag DO FUL</t>
  </si>
  <si>
    <t>TAG Phlox Spring Soft Pink 100/100 Pixie Tag DO FUL</t>
  </si>
  <si>
    <t>TAG Phlox Spring White 100/100 Pixie Tag DO</t>
  </si>
  <si>
    <t>TAG Phlox Spring White CN5339 100/100 Pixie Tag DO FUL</t>
  </si>
  <si>
    <t>TAG Phlox Spring White Limited Availability 50/50 Petite Portrait DO FUL</t>
  </si>
  <si>
    <t>TAG Phlox Sweet Seduction Blue 50/50 Petite Portrait DO FUL</t>
  </si>
  <si>
    <t>TAG Phlox Sweet Seduction Pink 50/50 Petite Portrait DO FUL</t>
  </si>
  <si>
    <t>TAG Phlox Woodlander Lilac 100/100 Pixie Tag DO FUL</t>
  </si>
  <si>
    <t>TAG Phlox Woodlander Lilac 50/50 Petite Portrait DO FUL</t>
  </si>
  <si>
    <t>TAG Phlox Woodlander Periwinkle 100/100 Pixie Tag DO FUL</t>
  </si>
  <si>
    <t>TAG Phlox Woodlander Pink 100/100 Pixie Tag DO FUL</t>
  </si>
  <si>
    <t>TAG Phlox Woodlander Pink 50/50 Petite Portrait DO FUL</t>
  </si>
  <si>
    <t>TAG Phlox Woodlander Purple 100/100 Pixie Tag DO FUL</t>
  </si>
  <si>
    <t>TAG Phlox Woodlander Rose 100/100 Pixie Tag DO FUL</t>
  </si>
  <si>
    <t>TAG Phlox Woodlander Rose 50/50 Petite Portrait DO FUL</t>
  </si>
  <si>
    <t>TAG Phlox Woodlander White 100/100 Pixie Tag DO FUL</t>
  </si>
  <si>
    <t>TAG Phlox Woodlander White 50/50 Petite Portrait DO FUL</t>
  </si>
  <si>
    <t>TAG Plectranthus Guacamole 50/50 Petite Portrait DO FUL</t>
  </si>
  <si>
    <t>TAG Plectranthus Lemon Twist 50/50 Petite Portrait DO FUL</t>
  </si>
  <si>
    <t>TAG Plectranthus Variegatus 50/50 Petite Portrait DO FUL</t>
  </si>
  <si>
    <t>TAG Plumbago Imperial Blue 50/50 Petite Portrait DO FUL</t>
  </si>
  <si>
    <t>TAG Portulaca ColorBlast Double Magenta 50/50 Petite Portrait DO FUL</t>
  </si>
  <si>
    <t>TAG Portulaca ColorBlast Double Orange 50/50 Petite Portrait DO FUL</t>
  </si>
  <si>
    <t>TAG Portulaca ColorBlast Double Scarlet 50/50 Petite Portrait DO FUL</t>
  </si>
  <si>
    <t>TAG Portulaca ColorBlast Double Yellow 50/50 Petite Portrait DO FUL</t>
  </si>
  <si>
    <t>TAG Portulaca ColorBlast Lemon Twist 50/50 Petite Portrait DO FUL</t>
  </si>
  <si>
    <t>TAG Portulaca ColorBlast Mango Mojito 50/50 Petite Portrait DO FUL</t>
  </si>
  <si>
    <t>TAG Portulaca ColorBlast Pink Lady 50/50 Petite Portrait DO FUL</t>
  </si>
  <si>
    <t>TAG Portulaca ColorBlast Rum Punch 50/50 Petite Portrait DO FUL</t>
  </si>
  <si>
    <t>TAG Portulaca ColorBlast Watermelon Punch 50/50 Petite Portrait DO FUL</t>
  </si>
  <si>
    <t>TAG Portulaca Cupcake Carrot 50/50 Petite Portrait DO FUL</t>
  </si>
  <si>
    <t>TAG Portulaca Cupcake Cherry Baby 50/50 Petite Portrait DO FUL</t>
  </si>
  <si>
    <t>TAG Portulaca Cupcake Coconut 50/50 Petite Portrait DO FUL</t>
  </si>
  <si>
    <t>TAG Portulaca Cupcake Grape Jelly 50/50 Petite Portrait DO FUL</t>
  </si>
  <si>
    <t>TAG Portulaca Cupcake Magenta Touch 50/50 Petite Portrait DO FUL</t>
  </si>
  <si>
    <t>TAG Portulaca Cupcake Orange Touch 50/50 Petite Portrait DO FUL</t>
  </si>
  <si>
    <t>TAG Portulaca Cupcake Peachy 50/50 Petite Portrait DO FUL</t>
  </si>
  <si>
    <t>TAG Portulaca Cupcake Purple Touch 50/50 Petite Portrait DO FUL</t>
  </si>
  <si>
    <t>TAG Portulaca Cupcake Strawberry Banana 50/50 Petite Portrait DO FUL</t>
  </si>
  <si>
    <t>TAG Portulaca Cupcake Upright Golden Yellow 50/50 Petite Portrait DO FUL</t>
  </si>
  <si>
    <t>TAG Portulaca Cupcake Upright Lavender 50/50 Petite Portrait DO FUL</t>
  </si>
  <si>
    <t>TAG Portulaca Cupcake Upright Lemon Zest 50/50 Petite Portrait DO FUL</t>
  </si>
  <si>
    <t>TAG Portulaca Cupcake Upright Orange Zest 50/50 Petite Portrait DO FUL</t>
  </si>
  <si>
    <t>TAG Portulaca Cupcake Upright Raspberry 50/50 Petite Portrait DO FUL</t>
  </si>
  <si>
    <t>TAG Portulaca Cupcake Upright White 50/50 Petite Portrait DO FUL</t>
  </si>
  <si>
    <t>TAG Portulaca Cupcake Yellow Chrome 50/50 Petite Portrait DO FUL</t>
  </si>
  <si>
    <t>TAG Portulaca Mediopicta 100/100 Pixie Tag DO FUL</t>
  </si>
  <si>
    <t>TAG Portulaca Variegata 100/100 Pixie Tag DO FUL</t>
  </si>
  <si>
    <t>TAG Rosemary Arp CN5348 100/100 Pixie Tag DO FUL</t>
  </si>
  <si>
    <t>TAG Rosemary Gorizia CN5349 100/100 Pixie Tag DO FUL</t>
  </si>
  <si>
    <t>TAG Rosemary Prostratus 100/100 Pixie Tag DO FUL</t>
  </si>
  <si>
    <t>TAG Rosemary Tuscan Beauty 100/100 Pixie Tag DO FUL</t>
  </si>
  <si>
    <t>TAG Rosemary Tuscan Blue CN5351 100/100 Pixie Tag DO FUL</t>
  </si>
  <si>
    <t>TAG Sage Berggarten 100/100 Pixie Tag DO FUL</t>
  </si>
  <si>
    <t>TAG Saintpaulia Maxi Alice Red 50/50 Petite Portrait DO FUL</t>
  </si>
  <si>
    <t>TAG Saintpaulia Maxi Besar Blue White 50/50 Petite Portrait DO FUL</t>
  </si>
  <si>
    <t>TAG Saintpaulia Maxi Besar Light Blue White 50/50 Petite Portrait DO FUL</t>
  </si>
  <si>
    <t>TAG Saintpaulia Maxi Besar Pink White 50/50 Petite Portrait DO FUL</t>
  </si>
  <si>
    <t>TAG Saintpaulia Maxi Besar Red White 50/50 Petite Portrait DO FUL</t>
  </si>
  <si>
    <t>TAG Saintpaulia Maxi Bibi 50/50 Petite Portrait DO FUL</t>
  </si>
  <si>
    <t>TAG Saintpaulia Maxi Biru 50/50 Petite Portrait DO FUL</t>
  </si>
  <si>
    <t>TAG Saintpaulia Maxi Blue Eye 50/50 Petite Portrait DO FUL</t>
  </si>
  <si>
    <t>TAG Saintpaulia Maxi Carol 50/50 Petite Portrait DO FUL</t>
  </si>
  <si>
    <t>TAG Saintpaulia Maxi Catherina 50/50 Petite Portrait DO FUL</t>
  </si>
  <si>
    <t>TAG Saintpaulia Maxi Chico 50/50 Petite Portrait DO FUL</t>
  </si>
  <si>
    <t>TAG Saintpaulia Maxi Claudia 50/50 Petite Portrait DO FUL</t>
  </si>
  <si>
    <t>TAG Saintpaulia Maxi Curly Ocean 50/50 Petite Portrait DO FUL</t>
  </si>
  <si>
    <t>TAG Saintpaulia Maxi Elin 50/50 Petite Portrait DO FUL</t>
  </si>
  <si>
    <t>TAG Saintpaulia Maxi Fabia 50/50 Petite Portrait DO FUL</t>
  </si>
  <si>
    <t>TAG Saintpaulia Maxi Fleur 50/50 Petite Portrait DO FUL</t>
  </si>
  <si>
    <t>TAG Saintpaulia Maxi Floor 50/50 Petite Portrait DO FUL</t>
  </si>
  <si>
    <t>TAG Saintpaulia Maxi Gabby 50/50 Petite Portrait DO FUL</t>
  </si>
  <si>
    <t>TAG Saintpaulia Maxi Gloria 50/50 Petite Portrait DO FUL</t>
  </si>
  <si>
    <t>TAG Saintpaulia Maxi Iris 50/50 Petite Portrait DO FUL</t>
  </si>
  <si>
    <t>TAG Saintpaulia Maxi Jessica 50/50 Petite Portrait DO FUL</t>
  </si>
  <si>
    <t>TAG Saintpaulia Maxi Laura 50/50 Petite Portrait DO FUL</t>
  </si>
  <si>
    <t>TAG Saintpaulia Maxi Lena 50/50 Petite Portrait DO FUL</t>
  </si>
  <si>
    <t>TAG Saintpaulia Maxi Leticia 50/50 Petite Portrait DO FUL</t>
  </si>
  <si>
    <t>TAG Saintpaulia Maxi Lia 50/50 Petite Portrait DO FUL</t>
  </si>
  <si>
    <t>TAG Saintpaulia Maxi Lila Lana 50/50 Petite Portrait DO FUL</t>
  </si>
  <si>
    <t>TAG Saintpaulia Maxi Livia 50/50 Petite Portrait DO FUL</t>
  </si>
  <si>
    <t>TAG Saintpaulia Maxi Lizzy 50/50 Petite Portrait DO FUL</t>
  </si>
  <si>
    <t>TAG Saintpaulia Maxi Lotte 50/50 Petite Portrait DO FUL</t>
  </si>
  <si>
    <t>TAG Saintpaulia Maxi Marilyn 50/50 Petite Portrait DO FUL</t>
  </si>
  <si>
    <t>TAG Saintpaulia Maxi Meike 50/50 Petite Portrait DO FUL</t>
  </si>
  <si>
    <t>TAG Saintpaulia Maxi Patty 50/50 Petite Portrait DO FUL</t>
  </si>
  <si>
    <t>TAG Saintpaulia Maxi Puck 50/50 Petite Portrait DO FUL</t>
  </si>
  <si>
    <t>TAG Saintpaulia Maxi Rana 50/50 Petite Portrait DO FUL</t>
  </si>
  <si>
    <t>TAG Saintpaulia Maxi Rianne 50/50 Petite Portrait DO FUL</t>
  </si>
  <si>
    <t>TAG Saintpaulia Maxi Roccoco Pink 50/50 Petite Portrait DO FUL</t>
  </si>
  <si>
    <t>TAG Saintpaulia Maxi Roccoco White 50/50 Petite Portrait DO FUL</t>
  </si>
  <si>
    <t>TAG Saintpaulia Maxi Triton 50/50 Petite Portrait DO FUL</t>
  </si>
  <si>
    <t>TAG Saintpaulia Maxi Yasmin 50/50 Petite Portrait DO FUL</t>
  </si>
  <si>
    <t>TAG Saintpaulia Mini Dewi 50/50 Petite Portrait DO FUL</t>
  </si>
  <si>
    <t>TAG Saintpaulia Mini Jenny Blue 50/50 Petite Portrait DO FUL</t>
  </si>
  <si>
    <t>TAG Saintpaulia Mini Jenny Dark Pink 50/50 Petite Portrait DO FUL</t>
  </si>
  <si>
    <t>TAG Saintpaulia Mini Jenny Lilac 50/50 Petite Portrait DO FUL</t>
  </si>
  <si>
    <t>TAG Saintpaulia Mini Jenny Pink 50/50 Petite Portrait DO FUL</t>
  </si>
  <si>
    <t>TAG Saintpaulia Mini Lady 50/50 Petite Portrait DO FUL</t>
  </si>
  <si>
    <t>TAG Saintpaulia Mini Loni 50/50 Petite Portrait DO FUL</t>
  </si>
  <si>
    <t>TAG Saintpaulia Mini Rosi 50/50 Petite Portrait DO FUL</t>
  </si>
  <si>
    <t>TAG Saintpaulia Mini Sarah 50/50 Petite Portrait DO FUL</t>
  </si>
  <si>
    <t>TAG Saintpaulia Mini Sarah Lilac 50/50 Petite Portrait DO FUL</t>
  </si>
  <si>
    <t>TAG Salvia Black And Blue 50/50 Petite Portrait DO FUL</t>
  </si>
  <si>
    <t>TAG Salvia Blue Hill 100/100 Pixie Tag DO FUL</t>
  </si>
  <si>
    <t>TAG Salvia Blue Marvel 100/100 Pixie Tag DO FUL</t>
  </si>
  <si>
    <t>TAG Salvia Bodacious Hummingbird Falls 50/50 Petite Portrait DO FUL</t>
  </si>
  <si>
    <t>TAG Salvia Caradonna 100/100 Pixie Tag DO FUL</t>
  </si>
  <si>
    <t>TAG Salvia Caramia 100/100 Pixie Tag DO FUL</t>
  </si>
  <si>
    <t>TAG Salvia Caramia Rosa 100/100 Pixie Tag DO FUL</t>
  </si>
  <si>
    <t>TAG Salvia Celebration 100/100 Pixie Tag DO FUL</t>
  </si>
  <si>
    <t>TAG Salvia East Friesland 100/100 Pixie Tag DO FUL</t>
  </si>
  <si>
    <t>TAG Salvia Elegans Pineapple Sage 100/100 Pixie Tag DO FUL</t>
  </si>
  <si>
    <t>TAG Salvia Garden Grey Sage 50/50 Petite Portrait DO FUL</t>
  </si>
  <si>
    <t>TAG Salvia Heatwave Blast 50/50 Petite Portrait DO FUL</t>
  </si>
  <si>
    <t>TAG Salvia Heatwave Blaze 50/50 Petite Portrait DO FUL</t>
  </si>
  <si>
    <t>TAG Salvia Heatwave Breeze 50/50 Petite Portrait DO FUL</t>
  </si>
  <si>
    <t>TAG Salvia Heatwave Glimmer 50/50 Petite Portrait DO FUL</t>
  </si>
  <si>
    <t>TAG Salvia Heatwave Glitter 50/50 Petite Portrait DO FUL</t>
  </si>
  <si>
    <t>TAG Salvia Heatwave Sparkle 50/50 Petite Portrait DO FUL</t>
  </si>
  <si>
    <t>TAG Salvia Hot Lips 50/50 Petite Portrait DO FUL</t>
  </si>
  <si>
    <t>TAG Salvia Icon Blue Bicolor 50/50 Petite Portrait DO FUL</t>
  </si>
  <si>
    <t>TAG Salvia Icon Dark Blue 50/50 Petite Portrait DO FUL</t>
  </si>
  <si>
    <t>TAG Salvia Icon Glacier 50/50 Petite Portrait DO FUL</t>
  </si>
  <si>
    <t>TAG Salvia Icon Light Blue 50/50 Petite Portrait DO FUL</t>
  </si>
  <si>
    <t>TAG Salvia Icon Violet 50/50 Petite Portrait DO FUL</t>
  </si>
  <si>
    <t>TAG Salvia Icterina Sage 50/50 Petite Portrait DO FUL</t>
  </si>
  <si>
    <t>TAG Salvia Lipstick 50/50 Petite Portrait DO FUL</t>
  </si>
  <si>
    <t>TAG Salvia Marcus 100/100 Pixie Tag DO FUL</t>
  </si>
  <si>
    <t>TAG Salvia May Night 100/100 Pixie Tag DO FUL</t>
  </si>
  <si>
    <t>TAG Salvia May Night 50/50 Petite Portrait DO FUL</t>
  </si>
  <si>
    <t>TAG Salvia Midnight Purple 100/100 Pixie Tag DO FUL</t>
  </si>
  <si>
    <t>TAG Salvia Midnight Rose 100/100 Pixie Tag DO FUL</t>
  </si>
  <si>
    <t>TAG Salvia Noble Knight 100/100 Pixie Tag DO FUL</t>
  </si>
  <si>
    <t>TAG Salvia Noche 100/100 Pixie Tag DO FUL</t>
  </si>
  <si>
    <t>TAG Salvia Purpurascens Sage 100/100 Pixie Tag DO FUL</t>
  </si>
  <si>
    <t>TAG Salvia Salute Blue Limited Availability 100/100 Pixie Tag DO FUL</t>
  </si>
  <si>
    <t>TAG Salvia Salute Deep Blue 100/100 Pixie Tag DO FUL</t>
  </si>
  <si>
    <t>TAG Salvia Salute Deep Blue Limited Availability 50/50 Petite Portrait DO FUL</t>
  </si>
  <si>
    <t>TAG Salvia Salute Ice Blue 100/100 Pixie Tag DO FUL</t>
  </si>
  <si>
    <t>TAG Salvia Salute Light Pink 100/100 Pixie Tag DO FUL</t>
  </si>
  <si>
    <t>TAG Salvia Salute Neon Pink 100/100 Pixie Tag DO FUL</t>
  </si>
  <si>
    <t>TAG Salvia Salute Pink 50/50 Petite Portrait DO FUL</t>
  </si>
  <si>
    <t>TAG Salvia Salute White 100/100 Pixie Tag DO FUL</t>
  </si>
  <si>
    <t>TAG Salvia Snow Hill 50/50 Petite Portrait DO FUL</t>
  </si>
  <si>
    <t>TAG Salvia Spring King 100/100 Pixie Tag DO FUL</t>
  </si>
  <si>
    <t>TAG Salvia Spring King Mini 100/100 Pixie Tag DO FUL</t>
  </si>
  <si>
    <t>TAG Salvia Spring King Mini Rose 100/100 Pixie Tag DO FUL</t>
  </si>
  <si>
    <t>TAG Salvia Tricolor Sage 100/100 Pixie Tag DO FUL</t>
  </si>
  <si>
    <t>TAG Salvia Vibe Ignition Fuchsia 50/50 Petite Portrait DO FUL</t>
  </si>
  <si>
    <t>TAG Salvia Vibe Ignition Purple 50/50 Petite Portrait DO FUL</t>
  </si>
  <si>
    <t>TAG Salvia Vibe Ignition White 50/50 Petite Portrait DO FUL</t>
  </si>
  <si>
    <t>TAG Salvia Wendy's Wish 50/50 Petite Portrait DO FUL</t>
  </si>
  <si>
    <t>TAG Santolina Grey Lavender Cotton 100/100 Pixie Tag DO FUL</t>
  </si>
  <si>
    <t>TAG Sanvitalia Sunvy Super Gold 50/50 Petite Portrait DO FUL</t>
  </si>
  <si>
    <t>TAG Sanvitalia Sunvy Top Gold 50/50 Petite Portrait DO FUL</t>
  </si>
  <si>
    <t>TAG Sanvitalia Sunvy Trailing 50/50 Petite Portrait DO FUL</t>
  </si>
  <si>
    <t>TAG Saxifraga Scenic Red 100/100 Pixie Tag DO FUL</t>
  </si>
  <si>
    <t>TAG Saxifraga Scenic White 100/100 Pixie Tag DO FUL</t>
  </si>
  <si>
    <t>TAG Scabiosa Butterfly Blue 100/100 Pixie Tag DO FUL</t>
  </si>
  <si>
    <t>TAG Scabiosa Flutter Deep Blue 100/100 Pixie Tag DO FUL</t>
  </si>
  <si>
    <t>TAG Scabiosa Flutter Rose Pink 100/100 Pixie Tag DO FUL</t>
  </si>
  <si>
    <t>TAG Scabiosa Pink Mist 100/100 Pixie Tag DO FUL</t>
  </si>
  <si>
    <t>TAG Scaevola Brilliant 50/50 Petite Portrait DO FUL</t>
  </si>
  <si>
    <t>TAG Scaevola Fancy 50/50 Petite Portrait DO FUL</t>
  </si>
  <si>
    <t>TAG Scaevola Scala Blue 50/50 Petite Portrait DO FUL</t>
  </si>
  <si>
    <t>TAG Scaevola Scala Blue Bird 50/50 Petite Portrait DO FUL</t>
  </si>
  <si>
    <t>TAG Scaevola Scala Blue Jay 50/50 Petite Portrait DO FUL</t>
  </si>
  <si>
    <t>TAG Scaevola Scala Blue Shades 50/50 Petite Portrait DO FUL</t>
  </si>
  <si>
    <t>TAG Scaevola Scala Cappelo Purple 50/50 Petite Portrait DO FUL</t>
  </si>
  <si>
    <t>TAG Scaevola Scala Cappelo White 50/50 Petite Portrait DO FUL</t>
  </si>
  <si>
    <t>TAG Scaevola Scala Pink 50/50 Petite Portrait DO FUL</t>
  </si>
  <si>
    <t>TAG Scaevola Scala Pink Bird 50/50 Petite Portrait DO FUL</t>
  </si>
  <si>
    <t>TAG Scaevola Scala Purple Bird 50/50 Petite Portrait DO FUL</t>
  </si>
  <si>
    <t>TAG Scaevola Scala White 50/50 Petite Portrait DO FUL</t>
  </si>
  <si>
    <t>TAG Scaevola Scala White DO FULve 50/50 Petite Portrait DO FUL</t>
  </si>
  <si>
    <t>TAG Scaevola Scalora Brilliant 100/100 Pixie Tag DO</t>
  </si>
  <si>
    <t>TAG Scaevola Scalora Brilliant 50/50 Petite Portrait DO FUL</t>
  </si>
  <si>
    <t>TAG Scaevola Scalora Diamond 100/100 Pixie Tag DO</t>
  </si>
  <si>
    <t>TAG Scaevola Scalora Diamond 50/50 Petite Portrait DO FUL</t>
  </si>
  <si>
    <t>TAG Scaevola Scalora Fancy 100/100 Pixie Tag DO</t>
  </si>
  <si>
    <t>TAG Scaevola Scalora Fancy 50/50 Petite Portrait DO FUL</t>
  </si>
  <si>
    <t>TAG Scaevola Scalora Glitzy 100/100 Pixie Tag DO</t>
  </si>
  <si>
    <t>TAG Scaevola Scalora Pearl 100/100 Pixie Tag DO</t>
  </si>
  <si>
    <t>TAG Scaevola Scalora Suntastic 100/100 Pixie Tag DO</t>
  </si>
  <si>
    <t>TAG Scaevola Scalora Suntastic 50/50 Petite Portrait DO FUL</t>
  </si>
  <si>
    <t>TAG Scaevola Scalora Top Pot Blue 50/50 Petite Portrait DO FUL</t>
  </si>
  <si>
    <t>TAG Scaevola Scalora Top Pot Pink 50/50 Petite Portrait DO FUL</t>
  </si>
  <si>
    <t>TAG Scaevola Scalora Top Pot White 50/50 Petite Portrait DO FUL</t>
  </si>
  <si>
    <t>TAG Scaevola Scalora Topaz Pink 100/100 Pixie Tag DO</t>
  </si>
  <si>
    <t>TAG Scaevola Top Pot Blue 50/50 Petite Portrait DO FUL</t>
  </si>
  <si>
    <t>TAG Scaevola Top Pot Yellow 50/50 Petite Portrait DO FUL</t>
  </si>
  <si>
    <t>TAG Scilla Caribbean Jewels Bonaire 50/50 Petite Portrait DO FUL</t>
  </si>
  <si>
    <t>TAG Scilla Caribbean Jewels Saphire Blue 50/50 Petite Portrait DO FUL</t>
  </si>
  <si>
    <t>TAG Sedeve Letizia 100/100 Pixie Tag DO FUL</t>
  </si>
  <si>
    <t>TAG Sedum Adolphii 100/100 Pixie Tag DO FUL</t>
  </si>
  <si>
    <t>TAG Sedum Aurora Blue 100/100 Pixie Tag DO FUL</t>
  </si>
  <si>
    <t>TAG Sedum Autumn Fire 100/100 Pixie Tag DO FUL</t>
  </si>
  <si>
    <t>TAG Sedum Autumn Joy 100/100 Pixie Tag DO FUL</t>
  </si>
  <si>
    <t>TAG Sedum Banana Split 100/100 Pixie Tag DO FUL</t>
  </si>
  <si>
    <t>TAG Sedum Blue Spruce 100/100 Pixie Tag DO FUL</t>
  </si>
  <si>
    <t>TAG Sedum Blue Spruce 50/50 Petite Portrait DO FUL</t>
  </si>
  <si>
    <t>TAG Sedum Carnicolor 100/100 Pixie Tag DO FUL</t>
  </si>
  <si>
    <t>TAG Sedum Chocolate Ball 100/100 Pixie Tag DO FUL</t>
  </si>
  <si>
    <t>TAG Sedum Dragon's Blood 100/100 Pixie Tag DO FUL</t>
  </si>
  <si>
    <t>TAG Sedum Ewersii 100/100 Pixie Tag DO FUL</t>
  </si>
  <si>
    <t>TAG Sedum Lucidum 100/100 Pixie Tag DO FUL</t>
  </si>
  <si>
    <t>TAG Sedum Matrona 50/50 Petite Portrait DO FUL</t>
  </si>
  <si>
    <t>TAG Sedum Mediovariegatum 50/50 Petite Portrait DO FUL</t>
  </si>
  <si>
    <t>TAG Sedum Morganianum 100/100 Pixie Tag DO FUL</t>
  </si>
  <si>
    <t>TAG Sedum Nussbaumerianum 100/100 Pixie Tag DO FUL</t>
  </si>
  <si>
    <t>TAG Sedum Sieboldii Limited Availability 50/50 Petite Portrait DO FUL</t>
  </si>
  <si>
    <t>TAG Sedum SunSparkler Blue Elf Limited Availability 100/100 Pixie Tag DO FUL</t>
  </si>
  <si>
    <t>TAG Sedum SunSparkler Cherry Tart 100/100 Pixie Tag DO FUL</t>
  </si>
  <si>
    <t>TAG Sedum SunSparkler Dazzleberry 100/100 Pixie Tag DO FUL</t>
  </si>
  <si>
    <t>TAG Sedum SunSparkler Firecracker 100/100 Pixie Tag DO FUL</t>
  </si>
  <si>
    <t>TAG Sedum SunSparkler Lime Twister Limited Availability 100/100 Pixie Tag DO FUL</t>
  </si>
  <si>
    <t>TAG Sedum SunSparkler Lime Zinger 100/100 Pixie Tag DO FUL</t>
  </si>
  <si>
    <t>TAG Sedum SunSparkler Plum Dazzled 100/100 Pixie Tag DO FUL</t>
  </si>
  <si>
    <t>TAG Sedum SunSparkler Wildfire 100/100 Pixie Tag DO FUL</t>
  </si>
  <si>
    <t>TAG Sedum Tricolor 100/100 Pixie Tag DO FUL</t>
  </si>
  <si>
    <t>TAG Sedum Tricolor Limited Availability 50/50 Petite Portrait DO FUL</t>
  </si>
  <si>
    <t>TAG Sedum Variegatum CN5388 100/100 Pixie Tag DO FUL</t>
  </si>
  <si>
    <t>TAG Sempervivum Arachnoideum 100/100 Pixie Tag DO FUL</t>
  </si>
  <si>
    <t>TAG Sempervivum Calcareum 100/100 Pixie Tag DO FUL</t>
  </si>
  <si>
    <t>TAG Sempervivum Caucasicum 100/100 Pixie Tag DO FUL</t>
  </si>
  <si>
    <t>TAG Sempervivum Ebro 100/100 Pixie Tag DO FUL</t>
  </si>
  <si>
    <t>TAG Sempervivum Kalinda 100/100 Pixie Tag DO FUL</t>
  </si>
  <si>
    <t>TAG Sempervivum Koeban 100/100 Pixie Tag DO FUL</t>
  </si>
  <si>
    <t>TAG Sempervivum Moezel 100/100 Pixie Tag DO FUL</t>
  </si>
  <si>
    <t>TAG Sempervivum Neva 100/100 Pixie Tag DO FUL</t>
  </si>
  <si>
    <t>TAG Sempervivum Red Beauty 100/100 Pixie Tag DO FUL</t>
  </si>
  <si>
    <t>TAG Sempervivum Sunset 100/100 Pixie Tag DO FUL</t>
  </si>
  <si>
    <t>TAG Sempervivum Tiber 100/100 Pixie Tag DO FUL</t>
  </si>
  <si>
    <t>TAG Sempervivum Wolga 100/100 Pixie Tag DO FUL</t>
  </si>
  <si>
    <t>TAG Sempervivum Yukon 100/100 Pixie Tag DO FUL</t>
  </si>
  <si>
    <t>TAG Senecio Crassissimus 100/100 Pixie Tag DO FUL</t>
  </si>
  <si>
    <t>TAG Senecio Himalaya 100/100 Pixie Tag DO FUL</t>
  </si>
  <si>
    <t>TAG Senecio Mandala Blue Charme 50/50 Petite Portrait DO FUL</t>
  </si>
  <si>
    <t>TAG Senecio Mandala Pink Bicolor 50/50 Petite Portrait DO FUL</t>
  </si>
  <si>
    <t>TAG Senecio Mandala Plus Bl Charme 50/50 Petite Portrait DO FUL</t>
  </si>
  <si>
    <t>TAG Senecio Mandala Plus Rose 50/50 Petite Portrait DO FUL</t>
  </si>
  <si>
    <t>TAG Senecio Mandala Plus Royal Blue 50/50 Petite Portrait DO FUL</t>
  </si>
  <si>
    <t>TAG Senecio Mandala Plus Rose Charme 50/50 Petite Portrait DO FUL</t>
  </si>
  <si>
    <t>TAG Senecio Mandala Plus Sky Blue 50/50 Petite Portrait DO FUL</t>
  </si>
  <si>
    <t>TAG Senecio Mandala Plus Violet Bicolor 50/50 Petite Portrait DO FUL</t>
  </si>
  <si>
    <t>TAG Senecio Mandala Purple 50/50 Petite Portrait DO FUL</t>
  </si>
  <si>
    <t>TAG Senecio Mandala Salmon 50/50 Petite Portrait DO FUL</t>
  </si>
  <si>
    <t>TAG Senecio Mandala XL Pink Bicolor 50/50 Petite Portrait DO FUL</t>
  </si>
  <si>
    <t>TAG Senecio Mont Blanc Senecio 100/100 Pixie Tag DO FUL</t>
  </si>
  <si>
    <t>TAG Senecio Stapelioformis 100/100 Pixie Tag DO FUL</t>
  </si>
  <si>
    <t>TAG Setcreasea Purple Queen 50/50 Petite Portrait DO FUL</t>
  </si>
  <si>
    <t>TAG Stachys Silver Carpet 100/100 Pixie Tag DO FUL</t>
  </si>
  <si>
    <t>TAG Stevia Rebaudiana 100/100 Pixie Tag DO FUL</t>
  </si>
  <si>
    <t>TAG Strobilanthes Persian Shield 50/50 Petite Portrait DO FUL</t>
  </si>
  <si>
    <t>TAG Thyme Doone Valley 50/50 Petite Portrait DO FUL</t>
  </si>
  <si>
    <t>TAG Thyme Elfin CN5404 100/100 Pixie Tag DO FUL</t>
  </si>
  <si>
    <t>TAG Thyme Golden Lemon 100/100 Pixie Tag DO FUL</t>
  </si>
  <si>
    <t>TAG Thyme Hi Ho Silver 100/100 Pixie Tag DO FUL</t>
  </si>
  <si>
    <t>TAG Thyme Lemon 100/100 Pixie Tag DO FUL</t>
  </si>
  <si>
    <t>TAG Thyme Pink Chintz 100/100 Pixie Tag DO FUL</t>
  </si>
  <si>
    <t>TAG Thyme Red Creeping 100/100 Pixie Tag DO FUL</t>
  </si>
  <si>
    <t>TAG Thyme Red Creeping Limited Availability 50/50 Petite Portrait DO FUL</t>
  </si>
  <si>
    <t>TAG Thyme Silver King 100/100 Pixie Tag DO FUL</t>
  </si>
  <si>
    <t>TAG Thyme Woolly 100/100 Pixie Tag DO FUL</t>
  </si>
  <si>
    <t>TAG Tradescantia Nanouk 50/50 Petite Portrait DO FUL</t>
  </si>
  <si>
    <t>TAG Tradescantia Tortuga 50/50 Petite Portrait DO FUL</t>
  </si>
  <si>
    <t>TAG Verbena Empress Burgundy Charme 50/50 Petite Portrait DO FUL</t>
  </si>
  <si>
    <t>TAG Verbena Empress Flair Amethyst Charme 50/50 Petite Portrait DO FUL</t>
  </si>
  <si>
    <t>TAG Verbena Empress Flair Blue Charme 50/50 Petite Portrait DO FUL</t>
  </si>
  <si>
    <t>TAG Verbena Empress Flair Burgundy Star 50/50 Petite Portrait DO FUL</t>
  </si>
  <si>
    <t>TAG Verbena Empress Flair Burgundy 50/50 Petite Portrait DO FUL</t>
  </si>
  <si>
    <t>TAG Verbena Empress Flair Cherry 50/50 Petite Portrait DO FUL</t>
  </si>
  <si>
    <t>TAG Verbena Empress Flair Cherry Charme 50/50 Petite Portrait DO FUL</t>
  </si>
  <si>
    <t>TAG Verbena Empress Flair Cobalt Blue 50/50 Petite Portrait DO FUL</t>
  </si>
  <si>
    <t>TAG Verbena Empress Flair Coral Reef 50/50 Petite Portrait DO FUL</t>
  </si>
  <si>
    <t>TAG Verbena Empress Flair Dark Red Charme 50/50 Petite Portrait DO FUL</t>
  </si>
  <si>
    <t>TAG Verbena Empress Flair Lavender Blue 50/50 Petite Portrait DO FUL</t>
  </si>
  <si>
    <t>TAG Verbena Empress Flair Peach 50/50 Petite Portrait DO FUL</t>
  </si>
  <si>
    <t>TAG Verbena Empress Flair Pink 2025 50/50 Petite Portrait DO FUL</t>
  </si>
  <si>
    <t>TAG Verbena Empress Flair Pink Charme 50/50 Petite Portrait DO FUL</t>
  </si>
  <si>
    <t>TAG Verbena Empress Flair Purple Sky 50/50 Petite Portrait DO FUL</t>
  </si>
  <si>
    <t>TAG Verbena Empress Flair Red 50/50 Petite Portrait DO FUL</t>
  </si>
  <si>
    <t>TAG Verbena Empress Flair Violet Blue 50/50 Petite Portrait DO FUL</t>
  </si>
  <si>
    <t>TAG Verbena Empress Flair White 50/50 Petite Portrait DO FUL</t>
  </si>
  <si>
    <t>TAG Verbena Empress Hot Pink Charme 50/50 Petite Portrait DO FUL</t>
  </si>
  <si>
    <t>TAG Verbena Empress Imperial Blue 50/50 Petite Portrait DO FUL</t>
  </si>
  <si>
    <t>TAG Verbena Empress Lavender Blue 50/50 Petite Portrait DO FUL</t>
  </si>
  <si>
    <t>TAG Verbena Empress Purple Improved 50/50 Petite Portrait DO FUL</t>
  </si>
  <si>
    <t>TAG Verbena Empress Strawberry Charme 50/50 Petite Portrait DO FUL</t>
  </si>
  <si>
    <t>TAG Verbena Empress Sun Burgundy Charm 50/50 Petite Portrait DO FUL</t>
  </si>
  <si>
    <t>TAG Verbena Empress Sun Cherry 50/50 Petite Portrait DO FUL</t>
  </si>
  <si>
    <t>TAG Verbena Empress Sun Compact Violet 50/50 Petite Portrait DO FUL</t>
  </si>
  <si>
    <t>TAG Verbena Empress Sun Compact White 50/50 Petite Portrait DO FUL</t>
  </si>
  <si>
    <t>TAG Verbena Empress Sun Compact Red 50/50 Petite Portrait DO FUL</t>
  </si>
  <si>
    <t>TAG Verbena Empress Sun Dark Blue 50/50 Petite Portrait DO FUL</t>
  </si>
  <si>
    <t>TAG Verbena Empress Sun Hot Pink 50/50 Petite Portrait DO FUL</t>
  </si>
  <si>
    <t>TAG Verbena Empress Sun Kiss Blue 2025 50/50 Petite Portrait DO FUL</t>
  </si>
  <si>
    <t>TAG Verbena Empress Sun Kiss Pink 50/50 Petite Portrait DO FUL</t>
  </si>
  <si>
    <t>TAG Verbena Empress Sun Kiss Red 50/50 Petite Portrait DO FUL</t>
  </si>
  <si>
    <t>TAG Verbena Empress Sun Kiss White 50/50 Petite Portrait DO FUL</t>
  </si>
  <si>
    <t>TAG Verbena Empress Sun Lavender Charme 50/50 Petite Portrait DO FUL</t>
  </si>
  <si>
    <t>TAG Verbena Empress Sun Pink 50/50 Petite Portrait DO FUL</t>
  </si>
  <si>
    <t>TAG Verbena Empress Sun Red 50/50 Petite Portrait DO FUL</t>
  </si>
  <si>
    <t>TAG Verbena Empress Sun Violet 50/50 Petite Portrait DO FUL</t>
  </si>
  <si>
    <t>TAG Verbena Empress Sun White 50/50 Petite Portrait DO FUL</t>
  </si>
  <si>
    <t>TAG Verbena Empress Sun White Blush 50/50 Petite Portrait DO FUL</t>
  </si>
  <si>
    <t>TAG Verbena Estrella Blueberry 50/50 Petite Portrait DO FUL</t>
  </si>
  <si>
    <t>TAG Verbena Estrella Dark Orange 50/50 Petite Portrait DO FUL</t>
  </si>
  <si>
    <t>TAG Verbena Estrella Dark Purple 50/50 Petite Portrait DO FUL</t>
  </si>
  <si>
    <t>TAG Verbena Estrella Hot Pink 50/50 Petite Portrait DO FUL</t>
  </si>
  <si>
    <t>TAG Verbena Estrella Lobsterfest 50/50 Petite Portrait DO FUL</t>
  </si>
  <si>
    <t>TAG Verbena Estrella Magenta 50/50 Petite Portrait DO FUL</t>
  </si>
  <si>
    <t>TAG Verbena Estrella Peach 50/50 Petite Portrait DO FUL</t>
  </si>
  <si>
    <t>TAG Verbena Estrella Red 50/50 Petite Portrait DO FUL</t>
  </si>
  <si>
    <t>TAG Verbena Estrella Upright Vampr Red 50/50 Petite Portrait DO FUL</t>
  </si>
  <si>
    <t>TAG Verbena Estrella Voodoo Lavender Star 50/50 Petite Portrait DO FUL</t>
  </si>
  <si>
    <t>TAG Verbena Estrella Voodoo Merlot Star 50/50 Petite Portrait DO FUL</t>
  </si>
  <si>
    <t>TAG Verbena Estrella Voodoo Pink Star 50/50 Petite Portrait DO FUL</t>
  </si>
  <si>
    <t>TAG Verbena Estrella Voodoo Red Star 50/50 Petite Portrait DO FUL</t>
  </si>
  <si>
    <t>TAG Verbena Estrella White 50/50 Petite Portrait DO FUL</t>
  </si>
  <si>
    <t>TAG Verbena Homestead Purple 100/100 Pixie Tag DO FUL</t>
  </si>
  <si>
    <t>TAG Verbena Homestead Purple 50/50 Petite Portrait DO FUL</t>
  </si>
  <si>
    <t>TAG Verbena Lindolena Lavender 50/50 Petite Portrait DO FUL</t>
  </si>
  <si>
    <t>TAG Verbena Lindolena Red 50/50 Petite Portrait DO FUL</t>
  </si>
  <si>
    <t>TAG Verbena Lindolena White 50/50 Petite Portrait DO FUL</t>
  </si>
  <si>
    <t>TAG Verbena Little One 50/50 Petite Portrait DO FUL</t>
  </si>
  <si>
    <t>TAG Verbena Royal Charme 50/50 Petite Portrait DO FUL</t>
  </si>
  <si>
    <t>TAG Verbena Voodoo Burgundy Star 50/50 Petite Portrait DO FUL</t>
  </si>
  <si>
    <t>TAG Verbena Voodoo Candy Star 50/50 Petite Portrait DO FUL</t>
  </si>
  <si>
    <t>TAG Verbena Voodoo Salmon Star 50/50 Petite Portrait DO FUL</t>
  </si>
  <si>
    <t>TAG Verbena Wicked Beauty Burgundy 50/50 Petite Portrait DO FUL</t>
  </si>
  <si>
    <t>TAG Verbena Wicked Cool Blue 50/50 Petite Portrait DO FUL</t>
  </si>
  <si>
    <t>TAG Verbena Wicked Cool Purple 50/50 Petite Portrait DO FUL</t>
  </si>
  <si>
    <t>TAG Verbena Wicked Great Grape 50/50 Petite Portrait DO FUL</t>
  </si>
  <si>
    <t>TAG Verbena Wicked Hot Pink 50/50 Petite Portrait DO FUL</t>
  </si>
  <si>
    <t>TAG Verbena Wicked Hot Red 50/50 Petite Portrait DO FUL</t>
  </si>
  <si>
    <t>TAG Verbena Wicked Mad Magenta 50/50 Petite Portrait DO FUL</t>
  </si>
  <si>
    <t>TAG Verbena Wicked Pink Pepper 50/50 Petite Portrait DO FUL</t>
  </si>
  <si>
    <t>TAG Verbena Wicked Purple 50/50 Petite Portrait DO FUL</t>
  </si>
  <si>
    <t>TAG Verbena Wicked Rad Red 50/50 Petite Portrait DO FUL</t>
  </si>
  <si>
    <t>TAG Veronica Baby Bloomer Blue 100/100 Pixie Tag DO FUL</t>
  </si>
  <si>
    <t>TAG Veronica Bubblegum Candles 100/100 Pixie Tag DO FUL</t>
  </si>
  <si>
    <t>TAG Veronica Candela Blue 100/100 Pixie Tag DO FUL</t>
  </si>
  <si>
    <t>TAG Veronica Candela Hot Pink 100/100 Pixie Tag DO FUL</t>
  </si>
  <si>
    <t>TAG Veronica Candela Pink 100/100 Pixie Tag DO FUL</t>
  </si>
  <si>
    <t>TAG Veronica Candela Purple 100/100 Pixie Tag DO FUL</t>
  </si>
  <si>
    <t>TAG Veronica Georgia Blue 50/50 Petite Portrait DO FUL</t>
  </si>
  <si>
    <t>TAG Veronica Giles Van Hees 100/100 Pixie Tag DO FUL</t>
  </si>
  <si>
    <t>TAG Veronica Moody Blues Dark Blue 50/50 Petite Portrait DO FUL</t>
  </si>
  <si>
    <t>TAG Veronica Royal Candles 100/100 Pixie Tag DO FUL</t>
  </si>
  <si>
    <t>TAG Veronica Snow Candles 100/100 Pixie Tag DO FUL</t>
  </si>
  <si>
    <t>TAG Veronica Sunny Border Blue 50/50 Petite Portrait DO FUL</t>
  </si>
  <si>
    <t>TAG Veronica Tidal Pool 50/50 Petite Portrait DO FUL</t>
  </si>
  <si>
    <t>TAG Vinca Minor Bowles Cunningham 100/100 Pixie Tag DO FUL</t>
  </si>
  <si>
    <t>TAG Vinca Minor Gertrude Jekyll 100/100 Pixie Tag DO FUL</t>
  </si>
  <si>
    <t>TAG Vinca Major High Color 50/50 Petite Portrait DO FUL</t>
  </si>
  <si>
    <t>TAG Vinca Minor Illumination CN5425 100/100 Pixie Tag DO FUL</t>
  </si>
  <si>
    <t>TAG Vinca Major Maculata 50/50 Petite Portrait DO FUL</t>
  </si>
  <si>
    <t>TAG Vinca Major Green 50/50 Petite Portrait DO FUL</t>
  </si>
  <si>
    <t>TAG Vinca Minor Alba 100/100 Pixie Tag DO FUL</t>
  </si>
  <si>
    <t>TAG Vinca Minor Atropurpurea 100/100 Pixie Tag DO FUL</t>
  </si>
  <si>
    <t>TAG Vinca Minor Ralph Shugert CN5426 100/100 Pixie Tag DO FUL</t>
  </si>
  <si>
    <t>TAG Vinca Minor Ralph Shugert Limited Availability 50/50 Petite Portrait DO FUL</t>
  </si>
  <si>
    <t>TAG Vinca Major Variegata 50/50 Petite Portrait DO FUL</t>
  </si>
  <si>
    <t>TAG Vinca Major Wojo's Jem 50/50 Petite Portrait DO FUL</t>
  </si>
  <si>
    <t>TAG Welcome To The Jungle House Plant 50/50 Petite Portrait DO FUL</t>
  </si>
  <si>
    <t>TAG Zantedeschia Calla Lily 50/50 Petite Portrait DO FUL</t>
  </si>
  <si>
    <t>TAG Zantedeschia Calla Lily Acapulco Gold 50/50 Petite Portrait DO FUL</t>
  </si>
  <si>
    <t>TAG Zantedeschia Calla Lily Accent 50/50 Petite Portrait DO FUL</t>
  </si>
  <si>
    <t>TAG Zantedeschia Calla Lily Airbrush 50/50 Petite Portrait DO FUL</t>
  </si>
  <si>
    <t>TAG Zantedeschia Calla Lily Alice Springs 50/50 Petite Portrait DO FUL</t>
  </si>
  <si>
    <t>TAG Zantedeschia Calla Lily Apricot Lady 50/50 Petite Portrait DO FUL</t>
  </si>
  <si>
    <t>TAG Zantedeschia Calla Arabian Night 50/50 Petite Portrait DO FUL</t>
  </si>
  <si>
    <t>TAG Zantedeschia Calla Lily Aspen 50/50 Petite Portrait DO FUL</t>
  </si>
  <si>
    <t>TAG Zantedeschia Calla Lily Beatrix 50/50 Petite Portrait DO FUL</t>
  </si>
  <si>
    <t>TAG Zantedeschia Calla Beijing 50/50 Petite Portrait DO FUL</t>
  </si>
  <si>
    <t>TAG Zantedeschia Calla Belcanto 50/50 Petite Portrait DO FUL</t>
  </si>
  <si>
    <t>TAG Zantedeschia Calla Lily Bloody Mary 50/50 Petite Portrait DO FUL</t>
  </si>
  <si>
    <t>TAG Zantedeschia Calla Lily Brasilia 50/50 Petite Portrait DO FUL</t>
  </si>
  <si>
    <t>TAG Zantedeschia Calla Buffalo 50/50 Petite Portrait DO FUL</t>
  </si>
  <si>
    <t>TAG Zantedeschia Calla Lily Bullit 50/50 Petite Portrait DO FUL</t>
  </si>
  <si>
    <t>TAG Zantedeschia Calla Lily Callafornia Carnival 50/50 Petite Portrait DO FUL</t>
  </si>
  <si>
    <t>TAG Zantedeschia Calla Lily Callafornia Red 50/50 Petite Portrait DO FUL</t>
  </si>
  <si>
    <t>TAG Zantedeschia Calla Lily Cancun 50/50 Petite Portrait DO FUL</t>
  </si>
  <si>
    <t>TAG Zantedeschia Calla Lily Cantor 50/50 Petite Portrait DO FUL</t>
  </si>
  <si>
    <t>TAG Zantedeschia Calla Lily Capitola 50/50 Petite Portrait DO FUL</t>
  </si>
  <si>
    <t>TAG Zantedeschia Calla Lily Captain Brunello 50/50 Petite Portrait DO FUL</t>
  </si>
  <si>
    <t>TAG Zantedeschia Calla Lily Captain Fuego 50/50 Petite Portrait DO FUL</t>
  </si>
  <si>
    <t>TAG Zantedeschia Calla Lily Captain Marrero 50/50 Petite Portrait DO FUL</t>
  </si>
  <si>
    <t>TAG Zantedeschia Calla Lily Captain Morelli 50/50 Petite Portrait DO FUL</t>
  </si>
  <si>
    <t>TAG Zantedeschia Calla Lily Captain Odeon 50/50 Petite Portrait DO FUL</t>
  </si>
  <si>
    <t>TAG Zantedeschia Calla Lily Captain Promise 50/50 Petite Portrait DO FUL</t>
  </si>
  <si>
    <t>TAG Zantedeschia Calla Lily Captain Reno 50/50 Petite Portrait DO FUL</t>
  </si>
  <si>
    <t>TAG Zantedeschia Calla Lily Captain Romance 50/50 Petite Portrait DO FUL</t>
  </si>
  <si>
    <t>TAG Zantedeschia Calla Lily Captain Rosette 50/50 Petite Portrait DO FUL</t>
  </si>
  <si>
    <t>TAG Zantedeschia Calla Lily Captain Solo 50/50 Petite Portrait DO FUL</t>
  </si>
  <si>
    <t>TAG Zantedeschia Calla Lily Captain Trinity 50/50 Petite Portrait DO FUL</t>
  </si>
  <si>
    <t>TAG Zantedeschia Calla Lily Captain Ventura 50/50 Petite Portrait DO FUL</t>
  </si>
  <si>
    <t>TAG Zantedeschia Calla Lily Copacabana 50/50 Petite Portrait DO FUL</t>
  </si>
  <si>
    <t>TAG Zantedeschia Calla Lily Corazon 50/50 Petite Portrait DO FUL</t>
  </si>
  <si>
    <t>TAG Zantedeschia Calla Lily Crystal Blush 50/50 Petite Portrait DO FUL</t>
  </si>
  <si>
    <t>TAG Zantedeschia Calla Lily Crystal Clear 50/50 Petite Portrait DO FUL</t>
  </si>
  <si>
    <t>TAG Zantedeschia Calla Lily Crystal Queen 50/50 Petite Portrait DO FUL</t>
  </si>
  <si>
    <t>TAG Zantedeschia Calla Lily Denver 50/50 Petite Portrait DO FUL</t>
  </si>
  <si>
    <t>TAG Zantedeschia Calla Lily Devil's Wine 50/50 Petite Portrait DO FUL</t>
  </si>
  <si>
    <t>TAG Zantedeschia Calla Lily Diva Classica 50/50 Petite Portrait DO FUL</t>
  </si>
  <si>
    <t>TAG Zantedeschia Calla Lily Dreamland 50/50 Petite Portrait DO FUL</t>
  </si>
  <si>
    <t>TAG Zantedeschia Calla Lily Drenthe 50/50 Petite Portrait DO FUL</t>
  </si>
  <si>
    <t>TAG Zantedeschia Calla Lily Dubai Nights 50/50 Petite Portrait DO FUL</t>
  </si>
  <si>
    <t>TAG Zantedeschia Calla Durban 50/50 Petite Portrait DO FUL</t>
  </si>
  <si>
    <t>TAG Zantedeschia Calla Lily Fantasia 50/50 Petite Portrait DO FUL</t>
  </si>
  <si>
    <t>TAG Zantedeschia Calla Lily Festival 50/50 Petite Portrait DO FUL</t>
  </si>
  <si>
    <t>TAG Zantedeschia Calla Lily Flirt 50/50 Petite Portrait DO FUL</t>
  </si>
  <si>
    <t>TAG Zantedeschia Calla Lily Fursa 50/50 Petite Portrait DO FUL</t>
  </si>
  <si>
    <t>TAG Zantedeschia Calla Lily Garnet Glow 50/50 Petite Portrait DO FUL</t>
  </si>
  <si>
    <t>TAG Zantedeschia Calla Lily Gold Crown 50/50 Petite Portrait DO FUL</t>
  </si>
  <si>
    <t>TAG Zantedeschia Calla Lily Gold Fever 50/50 Petite Portrait DO FUL</t>
  </si>
  <si>
    <t>TAG Zantedeschia Calla Lily Gold Label 50/50 Petite Portrait DO FUL</t>
  </si>
  <si>
    <t>TAG Zantedeschia Calla Lily Gold Medal 50/50 Petite Portrait DO FUL</t>
  </si>
  <si>
    <t>TAG Zantedeschia Calla Lily Gold Rush 50/50 Petite Portrait DO FUL</t>
  </si>
  <si>
    <t>TAG Zantedeschia Calla Lily Grape Velvet 50/50 Petite Portrait DO FUL</t>
  </si>
  <si>
    <t>TAG Zantedeschia Calla Lily Hanoi 50/50 Petite Portrait DO FUL</t>
  </si>
  <si>
    <t>TAG Zantedeschia Calla Havana 50/50 Pixie Tag DO FUL</t>
  </si>
  <si>
    <t>TAG Zantedeschia Calla Lily Helvetia 50/50 Petite Portrait DO FUL</t>
  </si>
  <si>
    <t>TAG Zantedeschia Calla Lily Hot Coral 50/50 Petite Portrait DO FUL</t>
  </si>
  <si>
    <t>TAG Zantedeschia Calla Lily Ice Dancer 50/50 Petite Portrait DO FUL</t>
  </si>
  <si>
    <t>TAG Zantedeschia Calla Lily Intimate Ivory 50/50 Petite Portrait DO FUL</t>
  </si>
  <si>
    <t>TAG Zantedeschia Calla Lily Izzy Mae 50/50 Petite Portrait DO FUL</t>
  </si>
  <si>
    <t>TAG Zantedeschia Calla Lily Jack O' Lantern 50/50 Petite Portrait DO FUL</t>
  </si>
  <si>
    <t>TAG Zantedeschia Calla Lily Kasai 50/50 Petite Portrait DO FUL</t>
  </si>
  <si>
    <t>TAG Zantedeschia Calla Kunming 50/50 Petite Portrait DO FUL</t>
  </si>
  <si>
    <t>TAG Zantedeschia Calla Lily La Paz 50/50 Petite Portrait DO FUL</t>
  </si>
  <si>
    <t>TAG Zantedeschia Calla Lily Lady Marmalade 50/50 Petite Portrait DO FUL</t>
  </si>
  <si>
    <t>TAG Zantedeschia Calla Lily Laguna Beach 50/50 Petite Portrait DO FUL</t>
  </si>
  <si>
    <t>TAG Zantedeschia Calla Lily Le Reve 50/50 Petite Portrait DO FUL</t>
  </si>
  <si>
    <t>TAG Zantedeschia Calla Lily Lemon Drop 50/50 Petite Portrait DO FUL</t>
  </si>
  <si>
    <t>TAG Zantedeschia Calla Lily Lip Gloss 50/50 Petite Portrait DO FUL</t>
  </si>
  <si>
    <t>TAG Zantedeschia Calla Lily Long Beach 50/50 Petite Portrait DO FUL</t>
  </si>
  <si>
    <t>TAG Zantedeschia Calla Lily Macau 50/50 Petite Portrait DO FUL</t>
  </si>
  <si>
    <t>TAG Zantedeschia Calla Lily Manila 50/50 Petite Portrait DO FUL</t>
  </si>
  <si>
    <t>TAG Zantedeschia Calla Lily Mellow Yellow 50/50 Petite Portrait DO FUL</t>
  </si>
  <si>
    <t>TAG Zantedeschia Calla Lily Mercedes 50/50 Petite Portrait DO FUL</t>
  </si>
  <si>
    <t>TAG Zantedeschia Calla Lily Mint Julip 50/50 Petite Portrait DO FUL</t>
  </si>
  <si>
    <t>TAG Zantedeschia Calla Lily Monte Carlo 50/50 Petite Portrait DO FUL</t>
  </si>
  <si>
    <t>TAG Zantedeschia Calla Lily Montevideo 50/50 Petite Portrait DO FUL</t>
  </si>
  <si>
    <t>TAG Zantedeschia Calla Lily Moon Shadow 50/50 Petite Portrait DO FUL</t>
  </si>
  <si>
    <t>TAG Zantedeschia Calla Lily Morning Sun 50/50 Petite Portrait DO FUL</t>
  </si>
  <si>
    <t>TAG Zantedeschia Calla Lily Nashville 50/50 Petite Portrait DO FUL</t>
  </si>
  <si>
    <t>TAG Zantedeschia Calla Lily Natural Bouquet 50/50 Petite Portrait DO FUL</t>
  </si>
  <si>
    <t>TAG Zantedeschia Calla Lily Neon Killer 50/50 Petite Portrait DO FUL</t>
  </si>
  <si>
    <t>TAG Zantedeschia Calla Lily New York 50/50 Petite Portrait DO FUL</t>
  </si>
  <si>
    <t>TAG Zantedeschia Calla Lily Night Club 50/50 Petite Portrait DO FUL</t>
  </si>
  <si>
    <t>TAG Zantedeschia Calla Lily Night Life 50/50 Petite Portrait DO FUL</t>
  </si>
  <si>
    <t>TAG Zantedeschia Calla Lily Nikita 50/50 Petite Portrait DO FUL</t>
  </si>
  <si>
    <t>TAG Zantedeschia Calla Lily Novi Sun 50/50 Petite Portrait DO FUL</t>
  </si>
  <si>
    <t>TAG Zantedeschia Calla Lily Odessa 50/50 Petite Portrait DO FUL</t>
  </si>
  <si>
    <t>TAG Zantedeschia Calla Lily Orange Alert 50/50 Petite Portrait DO FUL</t>
  </si>
  <si>
    <t>TAG Zantedeschia Calla Lily Orange Pride 50/50 Petite Portrait DO FUL</t>
  </si>
  <si>
    <t>TAG Zantedeschia Calla Lily Outback 50/50 Petite Portrait DO FUL</t>
  </si>
  <si>
    <t>TAG Zantedeschia Calla Lily Paco 50/50 Petite Portrait DO FUL</t>
  </si>
  <si>
    <t>TAG Zantedeschia Calla Lily Pasja 50/50 Petite Portrait DO FUL</t>
  </si>
  <si>
    <t>TAG Zantedeschia Calla Lily Peach Pazazz 50/50 Petite Portrait DO FUL</t>
  </si>
  <si>
    <t>TAG Zantedeschia Calla Lily Peach Pearl 50/50 Petite Portrait DO FUL</t>
  </si>
  <si>
    <t>TAG Zantedeschia Calla Lily Peppermint Twist 50/50 Petite Portrait DO FUL</t>
  </si>
  <si>
    <t>TAG Zantedeschia Calla Lily Peter's Pride 50/50 Petite Portrait DO FUL</t>
  </si>
  <si>
    <t>TAG Zantedeschia Calla Lily Picasso 50/50 Petite Portrait DO FUL</t>
  </si>
  <si>
    <t>TAG Zantedeschia Calla Lily Pillow Talk 50/50 Petite Portrait DO FUL</t>
  </si>
  <si>
    <t>TAG Zantedeschia Calla Lily Pink Cloud 50/50 Petite Portrait DO FUL</t>
  </si>
  <si>
    <t>TAG Zantedeschia Calla Lily Pink Giant 50/50 Petite Portrait DO FUL</t>
  </si>
  <si>
    <t>TAG Zantedeschia Calla Pink Harmony 50/50 Petite Portrait DO FUL</t>
  </si>
  <si>
    <t>TAG Zantedeschia Calla Lily Pink Jewel 50/50 Petite Portrait DO FUL</t>
  </si>
  <si>
    <t>TAG Zantedeschia Calla Pink Pop 50/50 Petite Portrait DO FUL</t>
  </si>
  <si>
    <t>TAG Zantedeschia Calla Lily Pink Puppy 50/50 Petite Portrait DO FUL</t>
  </si>
  <si>
    <t>TAG Zantedeschia Calla Lily Pink Velvet 50/50 Petite Portrait DO FUL</t>
  </si>
  <si>
    <t>TAG Zantedeschia Calla Lily Purple Spirit 50/50 Petite Portrait DO FUL</t>
  </si>
  <si>
    <t>TAG Zantedeschia Calla Purple Symphony 50/50 Petite Portrait DO FUL</t>
  </si>
  <si>
    <t>TAG Zantedeschia Calla Lily Red Alert 50/50 Petite Portrait DO FUL</t>
  </si>
  <si>
    <t>TAG Zantedeschia Calla Lily Red Charm 50/50 Petite Portrait DO FUL</t>
  </si>
  <si>
    <t>TAG Zantedeschia Calla Lily Red Emotion 50/50 Petite Portrait DO FUL</t>
  </si>
  <si>
    <t>TAG Zantedeschia Calla Red Salsa 50/50 Petite Portrait DO FUL</t>
  </si>
  <si>
    <t>TAG Zantedeschia Calla Red Symphony 50/50 Petite Portrait DO FUL</t>
  </si>
  <si>
    <t>TAG Zantedeschia Calla Lily Red Velvet 50/50 Petite Portrait DO FUL</t>
  </si>
  <si>
    <t>TAG Zantedeschia Calla Lily Rio 50/50 Petite Portrait DO FUL</t>
  </si>
  <si>
    <t>TAG Zantedeschia Calla Lily Royal Plum 50/50 Petite Portrait DO FUL</t>
  </si>
  <si>
    <t>TAG Zantedeschia Calla Lily Royal Princess 50/50 Petite Portrait DO FUL</t>
  </si>
  <si>
    <t>TAG Zantedeschia Calla Lily Royal Valentine 50/50 Petite Portrait DO FUL</t>
  </si>
  <si>
    <t>TAG Zantedeschia Calla Lily Ruby Temptation 50/50 Petite Portrait DO FUL</t>
  </si>
  <si>
    <t>TAG Zantedeschia Calla Lily Rubylite Rose 50/50 Petite Portrait DO FUL</t>
  </si>
  <si>
    <t>TAG Zantedeschia Calla Lily Samur 50/50 Petite Portrait DO FUL</t>
  </si>
  <si>
    <t>TAG Zantedeschia Calla Lily Savannah 50/50 Petite Portrait DO FUL</t>
  </si>
  <si>
    <t>TAG Zantedeschia Calla Lily Snow Leopard 50/50 Petite Portrait DO FUL</t>
  </si>
  <si>
    <t>TAG Zantedeschia Calla Lily Snow Storm 50/50 Petite Portrait DO FUL</t>
  </si>
  <si>
    <t>TAG Zantedeschia Calla Lily Stingray 50/50 Petite Portrait DO FUL</t>
  </si>
  <si>
    <t>TAG Zantedeschia Calla Lily Strawberry Blush 50/50 Petite Portrait DO FUL</t>
  </si>
  <si>
    <t>TAG Zantedeschia Calla Lily Strawberry Delight 50/50 Petite Portrait DO FUL</t>
  </si>
  <si>
    <t>TAG Zantedeschia Calla Lily Sumatra 50/50 Petite Portrait DO FUL</t>
  </si>
  <si>
    <t>TAG Zantedeschia Calla Lily Summer Sun 50/50 Petite Portrait DO FUL</t>
  </si>
  <si>
    <t>TAG Zantedeschia Calla Lily Sun Club 50/50 Petite Portrait DO FUL</t>
  </si>
  <si>
    <t>TAG Zantedeschia Calla Lily Sunset Passion 50/50 Petite Portrait DO FUL</t>
  </si>
  <si>
    <t>TAG Zantedeschia Calla Lily Sunya 50/50 Petite Portrait DO FUL</t>
  </si>
  <si>
    <t>TAG Zantedeschia Calla Lily Sweet Talk 50/50 Petite Portrait DO FUL</t>
  </si>
  <si>
    <t>TAG Zantedeschia Calla Tokyo 50/50 Petite Portrait DO FUL</t>
  </si>
  <si>
    <t>TAG Zantedeschia Calla Lily Toronto 50/50 Petite Portrait DO FUL</t>
  </si>
  <si>
    <t>TAG Zantedeschia Calla Lily Torrey Pines 50/50 Petite Portrait DO FUL</t>
  </si>
  <si>
    <t>TAG Zantedeschia Calla Lily Tropical 50/50 Petite Portrait DO FUL</t>
  </si>
  <si>
    <t>TAG Zantedeschia Calla Lily Twilight 50/50 Petite Portrait DO FUL</t>
  </si>
  <si>
    <t>TAG Zantedeschia Calla Lily Universe 50/50 Petite Portrait DO FUL</t>
  </si>
  <si>
    <t>TAG Zantedeschia Calla Lily Valencia 50/50 Petite Portrait DO FUL</t>
  </si>
  <si>
    <t>TAG Zantedeschia Calla Lily Venice Beach 50/50 Petite Portrait DO FUL</t>
  </si>
  <si>
    <t>TAG Zantedeschia Calla Lily White Flirt 50/50 Petite Portrait DO FUL</t>
  </si>
  <si>
    <t>TAG Zantedeschia Calla Lily Whitehorse 50/50 Petite Portrait DO FUL</t>
  </si>
  <si>
    <t>TAG Zantedeschia Calla Lily Wild Salmon 50/50 Petite Portrait DO FUL</t>
  </si>
  <si>
    <t>TAG Zantedeschia Calla Lily Wisley 50/50 Petite Portrait DO FUL</t>
  </si>
  <si>
    <t>TAG Zinnia Zany Rose Picotee 50/50 Petite Portrait DO FUL</t>
  </si>
  <si>
    <t>TAG Zinnia Zany Scarlet 50/50 Petite Portrait DO FUL</t>
  </si>
  <si>
    <t>Westrock Dummen Lister</t>
  </si>
  <si>
    <t xml:space="preserve">Griffin P.O. # </t>
  </si>
  <si>
    <t>Customer account #:</t>
  </si>
  <si>
    <t>Requested Shipping Date:</t>
  </si>
  <si>
    <t>Sold To:</t>
  </si>
  <si>
    <t>Phone:</t>
  </si>
  <si>
    <t>Ship To:</t>
  </si>
  <si>
    <t>Total Tags:</t>
  </si>
  <si>
    <t>Product Number</t>
  </si>
  <si>
    <t>Westrock Number</t>
  </si>
  <si>
    <t>Description</t>
  </si>
  <si>
    <t>Quantity</t>
  </si>
  <si>
    <t>TAG Assorted DO Fulfillment 100/100 Pixie Tag DO FUL</t>
  </si>
  <si>
    <t>TAG Assorted DO Fulfillment 50/50 Petite Portrait DO FUL</t>
  </si>
  <si>
    <t>TAG Impatiens Roller Coaster Cotton Candy 50/50 Petite Portrait DO FUL</t>
  </si>
  <si>
    <t>TAG Impatiens Roller Coaster Hot Pink 50/50 Petite Portrait DO FUL</t>
  </si>
  <si>
    <t>TAG Impatiens Roller Coaster Orange Ya Shakin' 50/50 Petite Portrait DO FUL</t>
  </si>
  <si>
    <t>TAG Impatiens Roller Coaster Red Racer 50/50 Petite Portrait DO FUL</t>
  </si>
  <si>
    <t>TAG Impatiens Roller Coaster Tangy Taffy 50/50 Petite Portrait DO FUL</t>
  </si>
  <si>
    <t>TAG Impatiens Roller Coaster Valravn Violet 50/50 Petite Portrait DO FUL</t>
  </si>
  <si>
    <t>TAG Impatiens Roller Coaster White Lightning 50/50 Petite Portrait DO FUL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</si>
</sst>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</font>
    <font>
      <b/>
      <sz val="12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u/>
      <sz val="11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horizontal="left"/>
    </xf>
    <xf numFmtId="0" fontId="3" fillId="2" borderId="1" xfId="0" applyFont="1" applyFill="1" applyBorder="1" applyAlignment="1">
      <alignment wrapText="1"/>
    </xf>
    <xf numFmtId="0" fontId="0" fillId="0" borderId="0" xfId="0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78314</xdr:colOff>
      <xdr:row>3</xdr:row>
      <xdr:rowOff>91494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DF605BA-277A-4F49-84E3-9AB8B31A219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345264" cy="6629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937F89-191C-4358-9917-554ED7A2EBEC}">
  <dimension ref="A4:D3044"/>
  <sheetViews>
    <sheetView tabSelected="1" workbookViewId="0">
      <selection activeCell="A18" sqref="A18:C3033"/>
    </sheetView>
  </sheetViews>
  <sheetFormatPr defaultColWidth="14.85546875" defaultRowHeight="15" x14ac:dyDescent="0.25"/>
  <cols>
    <col min="1" max="1" width="14.140625" bestFit="1" customWidth="1"/>
    <col min="2" max="2" width="19.85546875" customWidth="1"/>
    <col min="3" max="3" width="71.42578125" customWidth="1"/>
  </cols>
  <sheetData>
    <row r="4" spans="1:4" ht="30" customHeight="1" x14ac:dyDescent="0.25">
      <c r="B4" s="9" t="s">
        <v>3006</v>
      </c>
      <c r="C4" s="9"/>
    </row>
    <row r="5" spans="1:4" x14ac:dyDescent="0.25">
      <c r="A5" s="1" t="s">
        <v>3007</v>
      </c>
    </row>
    <row r="6" spans="1:4" x14ac:dyDescent="0.25">
      <c r="A6" s="5" t="s">
        <v>3008</v>
      </c>
      <c r="B6" s="6"/>
      <c r="C6" s="6"/>
      <c r="D6" s="6"/>
    </row>
    <row r="7" spans="1:4" x14ac:dyDescent="0.25">
      <c r="A7" s="7" t="s">
        <v>3009</v>
      </c>
      <c r="B7" s="8"/>
      <c r="C7" s="8"/>
      <c r="D7" s="8"/>
    </row>
    <row r="8" spans="1:4" x14ac:dyDescent="0.25">
      <c r="A8" s="5" t="s">
        <v>3010</v>
      </c>
      <c r="B8" s="6"/>
      <c r="C8" s="6"/>
      <c r="D8" s="6"/>
    </row>
    <row r="9" spans="1:4" x14ac:dyDescent="0.25">
      <c r="A9" s="5"/>
      <c r="B9" s="6"/>
      <c r="C9" s="6"/>
      <c r="D9" s="6"/>
    </row>
    <row r="10" spans="1:4" x14ac:dyDescent="0.25">
      <c r="A10" s="5"/>
      <c r="B10" s="6"/>
      <c r="C10" s="6"/>
      <c r="D10" s="6"/>
    </row>
    <row r="11" spans="1:4" x14ac:dyDescent="0.25">
      <c r="A11" s="5" t="s">
        <v>3011</v>
      </c>
      <c r="B11" s="6"/>
      <c r="C11" s="6"/>
      <c r="D11" s="6"/>
    </row>
    <row r="12" spans="1:4" x14ac:dyDescent="0.25">
      <c r="A12" s="7" t="s">
        <v>3012</v>
      </c>
      <c r="B12" s="8"/>
      <c r="C12" s="8"/>
      <c r="D12" s="8"/>
    </row>
    <row r="13" spans="1:4" x14ac:dyDescent="0.25">
      <c r="A13" s="7"/>
      <c r="B13" s="8"/>
      <c r="C13" s="8"/>
      <c r="D13" s="8"/>
    </row>
    <row r="14" spans="1:4" x14ac:dyDescent="0.25">
      <c r="A14" s="7"/>
      <c r="B14" s="8"/>
      <c r="C14" s="8"/>
      <c r="D14" s="8"/>
    </row>
    <row r="15" spans="1:4" x14ac:dyDescent="0.25">
      <c r="A15" s="7" t="s">
        <v>3011</v>
      </c>
      <c r="B15" s="8"/>
      <c r="C15" s="8"/>
      <c r="D15" s="8"/>
    </row>
    <row r="16" spans="1:4" x14ac:dyDescent="0.25">
      <c r="A16" s="2" t="s">
        <v>3013</v>
      </c>
      <c r="B16" s="3">
        <f>SUM(D19:D3033)</f>
        <v>0</v>
      </c>
      <c r="C16" s="3"/>
      <c r="D16" s="3"/>
    </row>
    <row r="17" spans="1:4" x14ac:dyDescent="0.25">
      <c r="A17" s="2"/>
      <c r="B17" s="3"/>
      <c r="C17" s="3"/>
      <c r="D17" s="3"/>
    </row>
    <row r="18" spans="1:4" ht="60" x14ac:dyDescent="0.25">
      <c r="A18" s="4" t="s">
        <v>3014</v>
      </c>
      <c r="B18" s="4" t="s">
        <v>3015</v>
      </c>
      <c r="C18" s="4" t="s">
        <v>3016</v>
      </c>
      <c r="D18" s="4" t="s">
        <v>3017</v>
      </c>
    </row>
    <row r="19" spans="1:4" s="10" customFormat="1" x14ac:dyDescent="0.25">
      <c r="A19" s="10" t="str">
        <f>"0611860398050"</f>
        <v>0611860398050</v>
      </c>
      <c r="B19" s="10" t="str">
        <f>"CR3308"</f>
        <v>CR3308</v>
      </c>
      <c r="C19" s="10" t="s">
        <v>0</v>
      </c>
    </row>
    <row r="20" spans="1:4" s="10" customFormat="1" x14ac:dyDescent="0.25">
      <c r="A20" s="10" t="str">
        <f>"0611860399050"</f>
        <v>0611860399050</v>
      </c>
      <c r="B20" s="10" t="str">
        <f>"CR3196"</f>
        <v>CR3196</v>
      </c>
      <c r="C20" s="10" t="s">
        <v>1</v>
      </c>
    </row>
    <row r="21" spans="1:4" s="10" customFormat="1" x14ac:dyDescent="0.25">
      <c r="A21" s="10" t="str">
        <f>"0611860406050"</f>
        <v>0611860406050</v>
      </c>
      <c r="B21" s="10" t="str">
        <f>"CR4150"</f>
        <v>CR4150</v>
      </c>
      <c r="C21" s="10" t="s">
        <v>2</v>
      </c>
    </row>
    <row r="22" spans="1:4" s="10" customFormat="1" x14ac:dyDescent="0.25">
      <c r="A22" s="10" t="str">
        <f>"0611860407050"</f>
        <v>0611860407050</v>
      </c>
      <c r="B22" s="10" t="str">
        <f>"CR4144"</f>
        <v>CR4144</v>
      </c>
      <c r="C22" s="10" t="s">
        <v>3</v>
      </c>
    </row>
    <row r="23" spans="1:4" s="10" customFormat="1" x14ac:dyDescent="0.25">
      <c r="A23" s="10" t="str">
        <f>"0611860408050"</f>
        <v>0611860408050</v>
      </c>
      <c r="B23" s="10" t="str">
        <f>"CR4145"</f>
        <v>CR4145</v>
      </c>
      <c r="C23" s="10" t="s">
        <v>4</v>
      </c>
    </row>
    <row r="24" spans="1:4" s="10" customFormat="1" x14ac:dyDescent="0.25">
      <c r="A24" s="10" t="str">
        <f>"0611860409050"</f>
        <v>0611860409050</v>
      </c>
      <c r="B24" s="10" t="str">
        <f>"CR4146"</f>
        <v>CR4146</v>
      </c>
      <c r="C24" s="10" t="s">
        <v>5</v>
      </c>
    </row>
    <row r="25" spans="1:4" s="10" customFormat="1" x14ac:dyDescent="0.25">
      <c r="A25" s="10" t="str">
        <f>"0611860411050"</f>
        <v>0611860411050</v>
      </c>
      <c r="B25" s="10" t="str">
        <f>"CR4147"</f>
        <v>CR4147</v>
      </c>
      <c r="C25" s="10" t="s">
        <v>6</v>
      </c>
    </row>
    <row r="26" spans="1:4" s="10" customFormat="1" x14ac:dyDescent="0.25">
      <c r="A26" s="10" t="str">
        <f>"0611860412100"</f>
        <v>0611860412100</v>
      </c>
      <c r="B26" s="10" t="str">
        <f>"CN2301"</f>
        <v>CN2301</v>
      </c>
      <c r="C26" s="10" t="s">
        <v>7</v>
      </c>
    </row>
    <row r="27" spans="1:4" s="10" customFormat="1" x14ac:dyDescent="0.25">
      <c r="A27" s="10" t="str">
        <f>"0611860413100"</f>
        <v>0611860413100</v>
      </c>
      <c r="B27" s="10" t="str">
        <f>"CN2302"</f>
        <v>CN2302</v>
      </c>
      <c r="C27" s="10" t="s">
        <v>8</v>
      </c>
    </row>
    <row r="28" spans="1:4" s="10" customFormat="1" x14ac:dyDescent="0.25">
      <c r="A28" s="10" t="str">
        <f>"0611860414100"</f>
        <v>0611860414100</v>
      </c>
      <c r="B28" s="10" t="str">
        <f>"CN2336"</f>
        <v>CN2336</v>
      </c>
      <c r="C28" s="10" t="s">
        <v>9</v>
      </c>
    </row>
    <row r="29" spans="1:4" s="10" customFormat="1" x14ac:dyDescent="0.25">
      <c r="A29" s="10" t="str">
        <f>"0611860415100"</f>
        <v>0611860415100</v>
      </c>
      <c r="B29" s="10" t="str">
        <f>"CN5002"</f>
        <v>CN5002</v>
      </c>
      <c r="C29" s="10" t="s">
        <v>10</v>
      </c>
    </row>
    <row r="30" spans="1:4" s="10" customFormat="1" x14ac:dyDescent="0.25">
      <c r="A30" s="10" t="str">
        <f>"0611860416050"</f>
        <v>0611860416050</v>
      </c>
      <c r="B30" s="10" t="str">
        <f>"CR4149"</f>
        <v>CR4149</v>
      </c>
      <c r="C30" s="10" t="s">
        <v>11</v>
      </c>
    </row>
    <row r="31" spans="1:4" s="10" customFormat="1" x14ac:dyDescent="0.25">
      <c r="A31" s="10" t="str">
        <f>"0611860417100"</f>
        <v>0611860417100</v>
      </c>
      <c r="B31" s="10" t="str">
        <f>"CN2000"</f>
        <v>CN2000</v>
      </c>
      <c r="C31" s="10" t="s">
        <v>12</v>
      </c>
    </row>
    <row r="32" spans="1:4" s="10" customFormat="1" x14ac:dyDescent="0.25">
      <c r="A32" s="10" t="str">
        <f>"0611860418100"</f>
        <v>0611860418100</v>
      </c>
      <c r="B32" s="10" t="str">
        <f>"CN2001"</f>
        <v>CN2001</v>
      </c>
      <c r="C32" s="10" t="s">
        <v>13</v>
      </c>
    </row>
    <row r="33" spans="1:3" s="10" customFormat="1" x14ac:dyDescent="0.25">
      <c r="A33" s="10" t="str">
        <f>"0611860419100"</f>
        <v>0611860419100</v>
      </c>
      <c r="B33" s="10" t="str">
        <f>"CN2002"</f>
        <v>CN2002</v>
      </c>
      <c r="C33" s="10" t="s">
        <v>14</v>
      </c>
    </row>
    <row r="34" spans="1:3" s="10" customFormat="1" x14ac:dyDescent="0.25">
      <c r="A34" s="10" t="str">
        <f>"0611860420100"</f>
        <v>0611860420100</v>
      </c>
      <c r="B34" s="10" t="str">
        <f>"CN2003"</f>
        <v>CN2003</v>
      </c>
      <c r="C34" s="10" t="s">
        <v>15</v>
      </c>
    </row>
    <row r="35" spans="1:3" s="10" customFormat="1" x14ac:dyDescent="0.25">
      <c r="A35" s="10" t="str">
        <f>"0611860421100"</f>
        <v>0611860421100</v>
      </c>
      <c r="B35" s="10" t="str">
        <f>"CN2004"</f>
        <v>CN2004</v>
      </c>
      <c r="C35" s="10" t="s">
        <v>16</v>
      </c>
    </row>
    <row r="36" spans="1:3" s="10" customFormat="1" x14ac:dyDescent="0.25">
      <c r="A36" s="10" t="str">
        <f>"0611860422100"</f>
        <v>0611860422100</v>
      </c>
      <c r="B36" s="10" t="str">
        <f>"CN2005"</f>
        <v>CN2005</v>
      </c>
      <c r="C36" s="10" t="s">
        <v>17</v>
      </c>
    </row>
    <row r="37" spans="1:3" s="10" customFormat="1" x14ac:dyDescent="0.25">
      <c r="A37" s="10" t="str">
        <f>"0611860423100"</f>
        <v>0611860423100</v>
      </c>
      <c r="B37" s="10" t="str">
        <f>"CN2006"</f>
        <v>CN2006</v>
      </c>
      <c r="C37" s="10" t="s">
        <v>18</v>
      </c>
    </row>
    <row r="38" spans="1:3" s="10" customFormat="1" x14ac:dyDescent="0.25">
      <c r="A38" s="10" t="str">
        <f>"0611860424100"</f>
        <v>0611860424100</v>
      </c>
      <c r="B38" s="10" t="str">
        <f>"CN2340"</f>
        <v>CN2340</v>
      </c>
      <c r="C38" s="10" t="s">
        <v>19</v>
      </c>
    </row>
    <row r="39" spans="1:3" s="10" customFormat="1" x14ac:dyDescent="0.25">
      <c r="A39" s="10" t="str">
        <f>"0611860425100"</f>
        <v>0611860425100</v>
      </c>
      <c r="B39" s="10" t="str">
        <f>"CN2337"</f>
        <v>CN2337</v>
      </c>
      <c r="C39" s="10" t="s">
        <v>20</v>
      </c>
    </row>
    <row r="40" spans="1:3" s="10" customFormat="1" x14ac:dyDescent="0.25">
      <c r="A40" s="10" t="str">
        <f>"0611860426100"</f>
        <v>0611860426100</v>
      </c>
      <c r="B40" s="10" t="str">
        <f>"CN2338"</f>
        <v>CN2338</v>
      </c>
      <c r="C40" s="10" t="s">
        <v>21</v>
      </c>
    </row>
    <row r="41" spans="1:3" s="10" customFormat="1" x14ac:dyDescent="0.25">
      <c r="A41" s="10" t="str">
        <f>"0611893304100"</f>
        <v>0611893304100</v>
      </c>
      <c r="B41" s="10" t="str">
        <f>"CN5463"</f>
        <v>CN5463</v>
      </c>
      <c r="C41" s="10" t="s">
        <v>22</v>
      </c>
    </row>
    <row r="42" spans="1:3" s="10" customFormat="1" x14ac:dyDescent="0.25">
      <c r="A42" s="10" t="str">
        <f>"0611893305100"</f>
        <v>0611893305100</v>
      </c>
      <c r="B42" s="10" t="str">
        <f>"CN5464"</f>
        <v>CN5464</v>
      </c>
      <c r="C42" s="10" t="s">
        <v>23</v>
      </c>
    </row>
    <row r="43" spans="1:3" s="10" customFormat="1" x14ac:dyDescent="0.25">
      <c r="A43" s="10" t="str">
        <f>"0611893306100"</f>
        <v>0611893306100</v>
      </c>
      <c r="B43" s="10" t="str">
        <f>"CN5447"</f>
        <v>CN5447</v>
      </c>
      <c r="C43" s="10" t="s">
        <v>24</v>
      </c>
    </row>
    <row r="44" spans="1:3" s="10" customFormat="1" x14ac:dyDescent="0.25">
      <c r="A44" s="10" t="str">
        <f>"0611860428100"</f>
        <v>0611860428100</v>
      </c>
      <c r="B44" s="10" t="str">
        <f>"CN5004"</f>
        <v>CN5004</v>
      </c>
      <c r="C44" s="10" t="s">
        <v>25</v>
      </c>
    </row>
    <row r="45" spans="1:3" s="10" customFormat="1" x14ac:dyDescent="0.25">
      <c r="A45" s="10" t="str">
        <f>"0611860429050"</f>
        <v>0611860429050</v>
      </c>
      <c r="B45" s="10" t="str">
        <f>"CR4152"</f>
        <v>CR4152</v>
      </c>
      <c r="C45" s="10" t="s">
        <v>26</v>
      </c>
    </row>
    <row r="46" spans="1:3" s="10" customFormat="1" x14ac:dyDescent="0.25">
      <c r="A46" s="10" t="str">
        <f>"0611860430100"</f>
        <v>0611860430100</v>
      </c>
      <c r="B46" s="10" t="str">
        <f>"CN5003"</f>
        <v>CN5003</v>
      </c>
      <c r="C46" s="10" t="s">
        <v>27</v>
      </c>
    </row>
    <row r="47" spans="1:3" s="10" customFormat="1" x14ac:dyDescent="0.25">
      <c r="A47" s="10" t="str">
        <f>"0611860431050"</f>
        <v>0611860431050</v>
      </c>
      <c r="B47" s="10" t="str">
        <f>"CR4151"</f>
        <v>CR4151</v>
      </c>
      <c r="C47" s="10" t="s">
        <v>28</v>
      </c>
    </row>
    <row r="48" spans="1:3" s="10" customFormat="1" x14ac:dyDescent="0.25">
      <c r="A48" s="10" t="str">
        <f>"0611893307100"</f>
        <v>0611893307100</v>
      </c>
      <c r="B48" s="10" t="str">
        <f>"CN5448"</f>
        <v>CN5448</v>
      </c>
      <c r="C48" s="10" t="s">
        <v>29</v>
      </c>
    </row>
    <row r="49" spans="1:3" s="10" customFormat="1" x14ac:dyDescent="0.25">
      <c r="A49" s="10" t="str">
        <f>"0611893308100"</f>
        <v>0611893308100</v>
      </c>
      <c r="B49" s="10" t="str">
        <f>"CN5455"</f>
        <v>CN5455</v>
      </c>
      <c r="C49" s="10" t="s">
        <v>30</v>
      </c>
    </row>
    <row r="50" spans="1:3" s="10" customFormat="1" x14ac:dyDescent="0.25">
      <c r="A50" s="10" t="str">
        <f>"0611893309100"</f>
        <v>0611893309100</v>
      </c>
      <c r="B50" s="10" t="str">
        <f>"CN5456"</f>
        <v>CN5456</v>
      </c>
      <c r="C50" s="10" t="s">
        <v>31</v>
      </c>
    </row>
    <row r="51" spans="1:3" s="10" customFormat="1" x14ac:dyDescent="0.25">
      <c r="A51" s="10" t="str">
        <f>"0611860432050"</f>
        <v>0611860432050</v>
      </c>
      <c r="B51" s="10" t="str">
        <f>"CR3919"</f>
        <v>CR3919</v>
      </c>
      <c r="C51" s="10" t="s">
        <v>32</v>
      </c>
    </row>
    <row r="52" spans="1:3" s="10" customFormat="1" x14ac:dyDescent="0.25">
      <c r="A52" s="10" t="str">
        <f>"0611860434050"</f>
        <v>0611860434050</v>
      </c>
      <c r="B52" s="10" t="str">
        <f>"CR3920"</f>
        <v>CR3920</v>
      </c>
      <c r="C52" s="10" t="s">
        <v>33</v>
      </c>
    </row>
    <row r="53" spans="1:3" s="10" customFormat="1" x14ac:dyDescent="0.25">
      <c r="A53" s="10" t="str">
        <f>"0611860435050"</f>
        <v>0611860435050</v>
      </c>
      <c r="B53" s="10" t="str">
        <f>"CR3921"</f>
        <v>CR3921</v>
      </c>
      <c r="C53" s="10" t="s">
        <v>34</v>
      </c>
    </row>
    <row r="54" spans="1:3" s="10" customFormat="1" x14ac:dyDescent="0.25">
      <c r="A54" s="10" t="str">
        <f>"0611860436050"</f>
        <v>0611860436050</v>
      </c>
      <c r="B54" s="10" t="str">
        <f>"CR3922"</f>
        <v>CR3922</v>
      </c>
      <c r="C54" s="10" t="s">
        <v>35</v>
      </c>
    </row>
    <row r="55" spans="1:3" s="10" customFormat="1" x14ac:dyDescent="0.25">
      <c r="A55" s="10" t="str">
        <f>"0611860437050"</f>
        <v>0611860437050</v>
      </c>
      <c r="B55" s="10" t="str">
        <f>"CR3924"</f>
        <v>CR3924</v>
      </c>
      <c r="C55" s="10" t="s">
        <v>36</v>
      </c>
    </row>
    <row r="56" spans="1:3" s="10" customFormat="1" x14ac:dyDescent="0.25">
      <c r="A56" s="10" t="str">
        <f>"0611860438050"</f>
        <v>0611860438050</v>
      </c>
      <c r="B56" s="10" t="str">
        <f>"CR3925"</f>
        <v>CR3925</v>
      </c>
      <c r="C56" s="10" t="s">
        <v>37</v>
      </c>
    </row>
    <row r="57" spans="1:3" s="10" customFormat="1" x14ac:dyDescent="0.25">
      <c r="A57" s="10" t="str">
        <f>"0611860439100"</f>
        <v>0611860439100</v>
      </c>
      <c r="B57" s="10" t="str">
        <f>"CN5005"</f>
        <v>CN5005</v>
      </c>
      <c r="C57" s="10" t="s">
        <v>38</v>
      </c>
    </row>
    <row r="58" spans="1:3" s="10" customFormat="1" x14ac:dyDescent="0.25">
      <c r="A58" s="10" t="str">
        <f>"0611860440050"</f>
        <v>0611860440050</v>
      </c>
      <c r="B58" s="10" t="str">
        <f>"CR4157"</f>
        <v>CR4157</v>
      </c>
      <c r="C58" s="10" t="s">
        <v>39</v>
      </c>
    </row>
    <row r="59" spans="1:3" s="10" customFormat="1" x14ac:dyDescent="0.25">
      <c r="A59" s="10" t="str">
        <f>"0611860441100"</f>
        <v>0611860441100</v>
      </c>
      <c r="B59" s="10" t="str">
        <f>"CN5006"</f>
        <v>CN5006</v>
      </c>
      <c r="C59" s="10" t="s">
        <v>40</v>
      </c>
    </row>
    <row r="60" spans="1:3" s="10" customFormat="1" x14ac:dyDescent="0.25">
      <c r="A60" s="10" t="str">
        <f>"0611860443100"</f>
        <v>0611860443100</v>
      </c>
      <c r="B60" s="10" t="str">
        <f>"CN5007"</f>
        <v>CN5007</v>
      </c>
      <c r="C60" s="10" t="s">
        <v>41</v>
      </c>
    </row>
    <row r="61" spans="1:3" s="10" customFormat="1" x14ac:dyDescent="0.25">
      <c r="A61" s="10" t="str">
        <f>"0611860444100"</f>
        <v>0611860444100</v>
      </c>
      <c r="B61" s="10" t="str">
        <f>"CN5008"</f>
        <v>CN5008</v>
      </c>
      <c r="C61" s="10" t="s">
        <v>42</v>
      </c>
    </row>
    <row r="62" spans="1:3" s="10" customFormat="1" x14ac:dyDescent="0.25">
      <c r="A62" s="10" t="str">
        <f>"0611860445100"</f>
        <v>0611860445100</v>
      </c>
      <c r="B62" s="10" t="str">
        <f>"CN5012"</f>
        <v>CN5012</v>
      </c>
      <c r="C62" s="10" t="s">
        <v>43</v>
      </c>
    </row>
    <row r="63" spans="1:3" s="10" customFormat="1" x14ac:dyDescent="0.25">
      <c r="A63" s="10" t="str">
        <f>"0611860446050"</f>
        <v>0611860446050</v>
      </c>
      <c r="B63" s="10" t="str">
        <f>"CR4159"</f>
        <v>CR4159</v>
      </c>
      <c r="C63" s="10" t="s">
        <v>44</v>
      </c>
    </row>
    <row r="64" spans="1:3" s="10" customFormat="1" x14ac:dyDescent="0.25">
      <c r="A64" s="10" t="str">
        <f>"0611860447100"</f>
        <v>0611860447100</v>
      </c>
      <c r="B64" s="10" t="str">
        <f>"CN5009"</f>
        <v>CN5009</v>
      </c>
      <c r="C64" s="10" t="s">
        <v>45</v>
      </c>
    </row>
    <row r="65" spans="1:3" s="10" customFormat="1" x14ac:dyDescent="0.25">
      <c r="A65" s="10" t="str">
        <f>"0611860448100"</f>
        <v>0611860448100</v>
      </c>
      <c r="B65" s="10" t="str">
        <f>"CN5010"</f>
        <v>CN5010</v>
      </c>
      <c r="C65" s="10" t="s">
        <v>46</v>
      </c>
    </row>
    <row r="66" spans="1:3" s="10" customFormat="1" x14ac:dyDescent="0.25">
      <c r="A66" s="10" t="str">
        <f>"0611860449050"</f>
        <v>0611860449050</v>
      </c>
      <c r="B66" s="10" t="str">
        <f>"CR4156"</f>
        <v>CR4156</v>
      </c>
      <c r="C66" s="10" t="s">
        <v>47</v>
      </c>
    </row>
    <row r="67" spans="1:3" s="10" customFormat="1" x14ac:dyDescent="0.25">
      <c r="A67" s="10" t="str">
        <f>"0611860451100"</f>
        <v>0611860451100</v>
      </c>
      <c r="B67" s="10" t="str">
        <f>"CN2343"</f>
        <v>CN2343</v>
      </c>
      <c r="C67" s="10" t="s">
        <v>48</v>
      </c>
    </row>
    <row r="68" spans="1:3" s="10" customFormat="1" x14ac:dyDescent="0.25">
      <c r="A68" s="10" t="str">
        <f>"0611860452100"</f>
        <v>0611860452100</v>
      </c>
      <c r="B68" s="10" t="str">
        <f>"CN2341"</f>
        <v>CN2341</v>
      </c>
      <c r="C68" s="10" t="s">
        <v>49</v>
      </c>
    </row>
    <row r="69" spans="1:3" s="10" customFormat="1" x14ac:dyDescent="0.25">
      <c r="A69" s="10" t="str">
        <f>"0611860453100"</f>
        <v>0611860453100</v>
      </c>
      <c r="B69" s="10" t="str">
        <f>"CN2342"</f>
        <v>CN2342</v>
      </c>
      <c r="C69" s="10" t="s">
        <v>50</v>
      </c>
    </row>
    <row r="70" spans="1:3" s="10" customFormat="1" x14ac:dyDescent="0.25">
      <c r="A70" s="10" t="str">
        <f>"0611893310100"</f>
        <v>0611893310100</v>
      </c>
      <c r="B70" s="10" t="str">
        <f>"CN5443"</f>
        <v>CN5443</v>
      </c>
      <c r="C70" s="10" t="s">
        <v>51</v>
      </c>
    </row>
    <row r="71" spans="1:3" s="10" customFormat="1" x14ac:dyDescent="0.25">
      <c r="A71" s="10" t="str">
        <f>"0611860455100"</f>
        <v>0611860455100</v>
      </c>
      <c r="B71" s="10" t="str">
        <f>"CN2323"</f>
        <v>CN2323</v>
      </c>
      <c r="C71" s="10" t="s">
        <v>52</v>
      </c>
    </row>
    <row r="72" spans="1:3" s="10" customFormat="1" x14ac:dyDescent="0.25">
      <c r="A72" s="10" t="str">
        <f>"0611860457100"</f>
        <v>0611860457100</v>
      </c>
      <c r="B72" s="10" t="str">
        <f>"CN2008"</f>
        <v>CN2008</v>
      </c>
      <c r="C72" s="10" t="s">
        <v>53</v>
      </c>
    </row>
    <row r="73" spans="1:3" s="10" customFormat="1" x14ac:dyDescent="0.25">
      <c r="A73" s="10" t="str">
        <f>"0611860458100"</f>
        <v>0611860458100</v>
      </c>
      <c r="B73" s="10" t="str">
        <f>"CN2269"</f>
        <v>CN2269</v>
      </c>
      <c r="C73" s="10" t="s">
        <v>54</v>
      </c>
    </row>
    <row r="74" spans="1:3" s="10" customFormat="1" x14ac:dyDescent="0.25">
      <c r="A74" s="10" t="str">
        <f>"0611860459100"</f>
        <v>0611860459100</v>
      </c>
      <c r="B74" s="10" t="str">
        <f>"CN5013"</f>
        <v>CN5013</v>
      </c>
      <c r="C74" s="10" t="s">
        <v>55</v>
      </c>
    </row>
    <row r="75" spans="1:3" s="10" customFormat="1" x14ac:dyDescent="0.25">
      <c r="A75" s="10" t="str">
        <f>"0611860460050"</f>
        <v>0611860460050</v>
      </c>
      <c r="B75" s="10" t="str">
        <f>"CR4160"</f>
        <v>CR4160</v>
      </c>
      <c r="C75" s="10" t="s">
        <v>56</v>
      </c>
    </row>
    <row r="76" spans="1:3" s="10" customFormat="1" x14ac:dyDescent="0.25">
      <c r="A76" s="10" t="str">
        <f>"0611860461050"</f>
        <v>0611860461050</v>
      </c>
      <c r="B76" s="10" t="str">
        <f>"CR4161"</f>
        <v>CR4161</v>
      </c>
      <c r="C76" s="10" t="s">
        <v>57</v>
      </c>
    </row>
    <row r="77" spans="1:3" s="10" customFormat="1" x14ac:dyDescent="0.25">
      <c r="A77" s="10" t="str">
        <f>"0611860462050"</f>
        <v>0611860462050</v>
      </c>
      <c r="B77" s="10" t="str">
        <f>"CR4162"</f>
        <v>CR4162</v>
      </c>
      <c r="C77" s="10" t="s">
        <v>58</v>
      </c>
    </row>
    <row r="78" spans="1:3" s="10" customFormat="1" x14ac:dyDescent="0.25">
      <c r="A78" s="10" t="str">
        <f>"0611860463050"</f>
        <v>0611860463050</v>
      </c>
      <c r="B78" s="10" t="str">
        <f>"CR4163"</f>
        <v>CR4163</v>
      </c>
      <c r="C78" s="10" t="s">
        <v>59</v>
      </c>
    </row>
    <row r="79" spans="1:3" s="10" customFormat="1" x14ac:dyDescent="0.25">
      <c r="A79" s="10" t="str">
        <f>"0611860464050"</f>
        <v>0611860464050</v>
      </c>
      <c r="B79" s="10" t="str">
        <f>"CR4164"</f>
        <v>CR4164</v>
      </c>
      <c r="C79" s="10" t="s">
        <v>60</v>
      </c>
    </row>
    <row r="80" spans="1:3" s="10" customFormat="1" x14ac:dyDescent="0.25">
      <c r="A80" s="10" t="str">
        <f>"0611860465050"</f>
        <v>0611860465050</v>
      </c>
      <c r="B80" s="10" t="str">
        <f>"CR4165"</f>
        <v>CR4165</v>
      </c>
      <c r="C80" s="10" t="s">
        <v>61</v>
      </c>
    </row>
    <row r="81" spans="1:3" s="10" customFormat="1" x14ac:dyDescent="0.25">
      <c r="A81" s="10" t="str">
        <f>"0611860466050"</f>
        <v>0611860466050</v>
      </c>
      <c r="B81" s="10" t="str">
        <f>"CR4166"</f>
        <v>CR4166</v>
      </c>
      <c r="C81" s="10" t="s">
        <v>62</v>
      </c>
    </row>
    <row r="82" spans="1:3" s="10" customFormat="1" x14ac:dyDescent="0.25">
      <c r="A82" s="10" t="str">
        <f>"0611860467050"</f>
        <v>0611860467050</v>
      </c>
      <c r="B82" s="10" t="str">
        <f>"CR4167"</f>
        <v>CR4167</v>
      </c>
      <c r="C82" s="10" t="s">
        <v>63</v>
      </c>
    </row>
    <row r="83" spans="1:3" s="10" customFormat="1" x14ac:dyDescent="0.25">
      <c r="A83" s="10" t="str">
        <f>"0611860468050"</f>
        <v>0611860468050</v>
      </c>
      <c r="B83" s="10" t="str">
        <f>"CR4168"</f>
        <v>CR4168</v>
      </c>
      <c r="C83" s="10" t="s">
        <v>64</v>
      </c>
    </row>
    <row r="84" spans="1:3" s="10" customFormat="1" x14ac:dyDescent="0.25">
      <c r="A84" s="10" t="str">
        <f>"0611860469050"</f>
        <v>0611860469050</v>
      </c>
      <c r="B84" s="10" t="str">
        <f>"CR4169"</f>
        <v>CR4169</v>
      </c>
      <c r="C84" s="10" t="s">
        <v>65</v>
      </c>
    </row>
    <row r="85" spans="1:3" s="10" customFormat="1" x14ac:dyDescent="0.25">
      <c r="A85" s="10" t="str">
        <f>"0611860470050"</f>
        <v>0611860470050</v>
      </c>
      <c r="B85" s="10" t="str">
        <f>"CR4170"</f>
        <v>CR4170</v>
      </c>
      <c r="C85" s="10" t="s">
        <v>66</v>
      </c>
    </row>
    <row r="86" spans="1:3" s="10" customFormat="1" x14ac:dyDescent="0.25">
      <c r="A86" s="10" t="str">
        <f>"0611860471050"</f>
        <v>0611860471050</v>
      </c>
      <c r="B86" s="10" t="str">
        <f>"CR4171"</f>
        <v>CR4171</v>
      </c>
      <c r="C86" s="10" t="s">
        <v>67</v>
      </c>
    </row>
    <row r="87" spans="1:3" s="10" customFormat="1" x14ac:dyDescent="0.25">
      <c r="A87" s="10" t="str">
        <f>"0611860472050"</f>
        <v>0611860472050</v>
      </c>
      <c r="B87" s="10" t="str">
        <f>"CR4172"</f>
        <v>CR4172</v>
      </c>
      <c r="C87" s="10" t="s">
        <v>68</v>
      </c>
    </row>
    <row r="88" spans="1:3" s="10" customFormat="1" x14ac:dyDescent="0.25">
      <c r="A88" s="10" t="str">
        <f>"0611860473050"</f>
        <v>0611860473050</v>
      </c>
      <c r="B88" s="10" t="str">
        <f>"CR4180"</f>
        <v>CR4180</v>
      </c>
      <c r="C88" s="10" t="s">
        <v>69</v>
      </c>
    </row>
    <row r="89" spans="1:3" s="10" customFormat="1" x14ac:dyDescent="0.25">
      <c r="A89" s="10" t="str">
        <f>"0611860474050"</f>
        <v>0611860474050</v>
      </c>
      <c r="B89" s="10" t="str">
        <f>"CR4181"</f>
        <v>CR4181</v>
      </c>
      <c r="C89" s="10" t="s">
        <v>70</v>
      </c>
    </row>
    <row r="90" spans="1:3" s="10" customFormat="1" x14ac:dyDescent="0.25">
      <c r="A90" s="10" t="str">
        <f>"0611860475050"</f>
        <v>0611860475050</v>
      </c>
      <c r="B90" s="10" t="str">
        <f>"CR4177"</f>
        <v>CR4177</v>
      </c>
      <c r="C90" s="10" t="s">
        <v>71</v>
      </c>
    </row>
    <row r="91" spans="1:3" s="10" customFormat="1" x14ac:dyDescent="0.25">
      <c r="A91" s="10" t="str">
        <f>"0611860476050"</f>
        <v>0611860476050</v>
      </c>
      <c r="B91" s="10" t="str">
        <f>"CR4178"</f>
        <v>CR4178</v>
      </c>
      <c r="C91" s="10" t="s">
        <v>72</v>
      </c>
    </row>
    <row r="92" spans="1:3" s="10" customFormat="1" x14ac:dyDescent="0.25">
      <c r="A92" s="10" t="str">
        <f>"0611860477050"</f>
        <v>0611860477050</v>
      </c>
      <c r="B92" s="10" t="str">
        <f>"CR4182"</f>
        <v>CR4182</v>
      </c>
      <c r="C92" s="10" t="s">
        <v>73</v>
      </c>
    </row>
    <row r="93" spans="1:3" s="10" customFormat="1" x14ac:dyDescent="0.25">
      <c r="A93" s="10" t="str">
        <f>"0611860478050"</f>
        <v>0611860478050</v>
      </c>
      <c r="B93" s="10" t="str">
        <f>"CR4183"</f>
        <v>CR4183</v>
      </c>
      <c r="C93" s="10" t="s">
        <v>74</v>
      </c>
    </row>
    <row r="94" spans="1:3" s="10" customFormat="1" x14ac:dyDescent="0.25">
      <c r="A94" s="10" t="str">
        <f>"0611860479050"</f>
        <v>0611860479050</v>
      </c>
      <c r="B94" s="10" t="str">
        <f>"CR4184"</f>
        <v>CR4184</v>
      </c>
      <c r="C94" s="10" t="s">
        <v>75</v>
      </c>
    </row>
    <row r="95" spans="1:3" s="10" customFormat="1" x14ac:dyDescent="0.25">
      <c r="A95" s="10" t="str">
        <f>"0611860480050"</f>
        <v>0611860480050</v>
      </c>
      <c r="B95" s="10" t="str">
        <f>"CR4185"</f>
        <v>CR4185</v>
      </c>
      <c r="C95" s="10" t="s">
        <v>76</v>
      </c>
    </row>
    <row r="96" spans="1:3" s="10" customFormat="1" x14ac:dyDescent="0.25">
      <c r="A96" s="10" t="str">
        <f>"0611860481050"</f>
        <v>0611860481050</v>
      </c>
      <c r="B96" s="10" t="str">
        <f>"CR4186"</f>
        <v>CR4186</v>
      </c>
      <c r="C96" s="10" t="s">
        <v>77</v>
      </c>
    </row>
    <row r="97" spans="1:3" s="10" customFormat="1" x14ac:dyDescent="0.25">
      <c r="A97" s="10" t="str">
        <f>"0611860482050"</f>
        <v>0611860482050</v>
      </c>
      <c r="B97" s="10" t="str">
        <f>"CR4179"</f>
        <v>CR4179</v>
      </c>
      <c r="C97" s="10" t="s">
        <v>78</v>
      </c>
    </row>
    <row r="98" spans="1:3" s="10" customFormat="1" x14ac:dyDescent="0.25">
      <c r="A98" s="10" t="str">
        <f>"0611860483050"</f>
        <v>0611860483050</v>
      </c>
      <c r="B98" s="10" t="str">
        <f>"CR4188"</f>
        <v>CR4188</v>
      </c>
      <c r="C98" s="10" t="s">
        <v>79</v>
      </c>
    </row>
    <row r="99" spans="1:3" s="10" customFormat="1" x14ac:dyDescent="0.25">
      <c r="A99" s="10" t="str">
        <f>"0611860484050"</f>
        <v>0611860484050</v>
      </c>
      <c r="B99" s="10" t="str">
        <f>"CR4173"</f>
        <v>CR4173</v>
      </c>
      <c r="C99" s="10" t="s">
        <v>80</v>
      </c>
    </row>
    <row r="100" spans="1:3" s="10" customFormat="1" x14ac:dyDescent="0.25">
      <c r="A100" s="10" t="str">
        <f>"0611860485050"</f>
        <v>0611860485050</v>
      </c>
      <c r="B100" s="10" t="str">
        <f>"CR4174"</f>
        <v>CR4174</v>
      </c>
      <c r="C100" s="10" t="s">
        <v>81</v>
      </c>
    </row>
    <row r="101" spans="1:3" s="10" customFormat="1" x14ac:dyDescent="0.25">
      <c r="A101" s="10" t="str">
        <f>"0611860486050"</f>
        <v>0611860486050</v>
      </c>
      <c r="B101" s="10" t="str">
        <f>"CR4187"</f>
        <v>CR4187</v>
      </c>
      <c r="C101" s="10" t="s">
        <v>82</v>
      </c>
    </row>
    <row r="102" spans="1:3" s="10" customFormat="1" x14ac:dyDescent="0.25">
      <c r="A102" s="10" t="str">
        <f>"0611860487050"</f>
        <v>0611860487050</v>
      </c>
      <c r="B102" s="10" t="str">
        <f>"CR4175"</f>
        <v>CR4175</v>
      </c>
      <c r="C102" s="10" t="s">
        <v>83</v>
      </c>
    </row>
    <row r="103" spans="1:3" s="10" customFormat="1" x14ac:dyDescent="0.25">
      <c r="A103" s="10" t="str">
        <f>"0611860488050"</f>
        <v>0611860488050</v>
      </c>
      <c r="B103" s="10" t="str">
        <f>"CR4176"</f>
        <v>CR4176</v>
      </c>
      <c r="C103" s="10" t="s">
        <v>84</v>
      </c>
    </row>
    <row r="104" spans="1:3" s="10" customFormat="1" x14ac:dyDescent="0.25">
      <c r="A104" s="10" t="str">
        <f>"0611860489050"</f>
        <v>0611860489050</v>
      </c>
      <c r="B104" s="10" t="str">
        <f>"CR2808"</f>
        <v>CR2808</v>
      </c>
      <c r="C104" s="10" t="s">
        <v>85</v>
      </c>
    </row>
    <row r="105" spans="1:3" s="10" customFormat="1" x14ac:dyDescent="0.25">
      <c r="A105" s="10" t="str">
        <f>"0611860490050"</f>
        <v>0611860490050</v>
      </c>
      <c r="B105" s="10" t="str">
        <f>"CR3282"</f>
        <v>CR3282</v>
      </c>
      <c r="C105" s="10" t="s">
        <v>86</v>
      </c>
    </row>
    <row r="106" spans="1:3" s="10" customFormat="1" x14ac:dyDescent="0.25">
      <c r="A106" s="10" t="str">
        <f>"0611860491050"</f>
        <v>0611860491050</v>
      </c>
      <c r="B106" s="10" t="str">
        <f>"CR2605"</f>
        <v>CR2605</v>
      </c>
      <c r="C106" s="10" t="s">
        <v>87</v>
      </c>
    </row>
    <row r="107" spans="1:3" s="10" customFormat="1" x14ac:dyDescent="0.25">
      <c r="A107" s="10" t="str">
        <f>"0611860492050"</f>
        <v>0611860492050</v>
      </c>
      <c r="B107" s="10" t="str">
        <f>"CR3057"</f>
        <v>CR3057</v>
      </c>
      <c r="C107" s="10" t="s">
        <v>88</v>
      </c>
    </row>
    <row r="108" spans="1:3" s="10" customFormat="1" x14ac:dyDescent="0.25">
      <c r="A108" s="10" t="str">
        <f>"0611860493050"</f>
        <v>0611860493050</v>
      </c>
      <c r="B108" s="10" t="str">
        <f>"CR3309"</f>
        <v>CR3309</v>
      </c>
      <c r="C108" s="10" t="s">
        <v>89</v>
      </c>
    </row>
    <row r="109" spans="1:3" s="10" customFormat="1" x14ac:dyDescent="0.25">
      <c r="A109" s="10" t="str">
        <f>"0611860494050"</f>
        <v>0611860494050</v>
      </c>
      <c r="B109" s="10" t="str">
        <f>"CR4189"</f>
        <v>CR4189</v>
      </c>
      <c r="C109" s="10" t="s">
        <v>90</v>
      </c>
    </row>
    <row r="110" spans="1:3" s="10" customFormat="1" x14ac:dyDescent="0.25">
      <c r="A110" s="10" t="str">
        <f>"0611860495050"</f>
        <v>0611860495050</v>
      </c>
      <c r="B110" s="10" t="str">
        <f>"CR4908"</f>
        <v>CR4908</v>
      </c>
      <c r="C110" s="10" t="s">
        <v>91</v>
      </c>
    </row>
    <row r="111" spans="1:3" s="10" customFormat="1" x14ac:dyDescent="0.25">
      <c r="A111" s="10" t="str">
        <f>"0611860496050"</f>
        <v>0611860496050</v>
      </c>
      <c r="B111" s="10" t="str">
        <f>"CR4909"</f>
        <v>CR4909</v>
      </c>
      <c r="C111" s="10" t="s">
        <v>92</v>
      </c>
    </row>
    <row r="112" spans="1:3" s="10" customFormat="1" x14ac:dyDescent="0.25">
      <c r="A112" s="10" t="str">
        <f>"0611860497050"</f>
        <v>0611860497050</v>
      </c>
      <c r="B112" s="10" t="str">
        <f>"CR4910"</f>
        <v>CR4910</v>
      </c>
      <c r="C112" s="10" t="s">
        <v>93</v>
      </c>
    </row>
    <row r="113" spans="1:3" s="10" customFormat="1" x14ac:dyDescent="0.25">
      <c r="A113" s="10" t="str">
        <f>"0611860498050"</f>
        <v>0611860498050</v>
      </c>
      <c r="B113" s="10" t="str">
        <f>"CR3996"</f>
        <v>CR3996</v>
      </c>
      <c r="C113" s="10" t="s">
        <v>94</v>
      </c>
    </row>
    <row r="114" spans="1:3" s="10" customFormat="1" x14ac:dyDescent="0.25">
      <c r="A114" s="10" t="str">
        <f>"0611883994050"</f>
        <v>0611883994050</v>
      </c>
      <c r="B114" s="10" t="str">
        <f>"CR5400"</f>
        <v>CR5400</v>
      </c>
      <c r="C114" s="10" t="s">
        <v>95</v>
      </c>
    </row>
    <row r="115" spans="1:3" s="10" customFormat="1" x14ac:dyDescent="0.25">
      <c r="A115" s="10" t="str">
        <f>"0611860499050"</f>
        <v>0611860499050</v>
      </c>
      <c r="B115" s="10" t="str">
        <f>"CR3997"</f>
        <v>CR3997</v>
      </c>
      <c r="C115" s="10" t="s">
        <v>96</v>
      </c>
    </row>
    <row r="116" spans="1:3" s="10" customFormat="1" x14ac:dyDescent="0.25">
      <c r="A116" s="10" t="str">
        <f>"0611860500050"</f>
        <v>0611860500050</v>
      </c>
      <c r="B116" s="10" t="str">
        <f>"CR3998"</f>
        <v>CR3998</v>
      </c>
      <c r="C116" s="10" t="s">
        <v>97</v>
      </c>
    </row>
    <row r="117" spans="1:3" s="10" customFormat="1" x14ac:dyDescent="0.25">
      <c r="A117" s="10" t="str">
        <f>"0611860501050"</f>
        <v>0611860501050</v>
      </c>
      <c r="B117" s="10" t="str">
        <f>"CR3999"</f>
        <v>CR3999</v>
      </c>
      <c r="C117" s="10" t="s">
        <v>98</v>
      </c>
    </row>
    <row r="118" spans="1:3" s="10" customFormat="1" x14ac:dyDescent="0.25">
      <c r="A118" s="10" t="str">
        <f>"0611860511050"</f>
        <v>0611860511050</v>
      </c>
      <c r="B118" s="10" t="str">
        <f>"CR3951"</f>
        <v>CR3951</v>
      </c>
      <c r="C118" s="10" t="s">
        <v>99</v>
      </c>
    </row>
    <row r="119" spans="1:3" s="10" customFormat="1" x14ac:dyDescent="0.25">
      <c r="A119" s="10" t="str">
        <f>"0611860516050"</f>
        <v>0611860516050</v>
      </c>
      <c r="B119" s="10" t="str">
        <f>"CR2001"</f>
        <v>CR2001</v>
      </c>
      <c r="C119" s="10" t="s">
        <v>100</v>
      </c>
    </row>
    <row r="120" spans="1:3" s="10" customFormat="1" x14ac:dyDescent="0.25">
      <c r="A120" s="10" t="str">
        <f>"0611860517050"</f>
        <v>0611860517050</v>
      </c>
      <c r="B120" s="10" t="str">
        <f>"CR2002"</f>
        <v>CR2002</v>
      </c>
      <c r="C120" s="10" t="s">
        <v>101</v>
      </c>
    </row>
    <row r="121" spans="1:3" s="10" customFormat="1" x14ac:dyDescent="0.25">
      <c r="A121" s="10" t="str">
        <f>"0611860518050"</f>
        <v>0611860518050</v>
      </c>
      <c r="B121" s="10" t="str">
        <f>"CR2003"</f>
        <v>CR2003</v>
      </c>
      <c r="C121" s="10" t="s">
        <v>102</v>
      </c>
    </row>
    <row r="122" spans="1:3" s="10" customFormat="1" x14ac:dyDescent="0.25">
      <c r="A122" s="10" t="str">
        <f>"0611860519050"</f>
        <v>0611860519050</v>
      </c>
      <c r="B122" s="10" t="str">
        <f>"CR3468"</f>
        <v>CR3468</v>
      </c>
      <c r="C122" s="10" t="s">
        <v>103</v>
      </c>
    </row>
    <row r="123" spans="1:3" s="10" customFormat="1" x14ac:dyDescent="0.25">
      <c r="A123" s="10" t="str">
        <f>"0611860520050"</f>
        <v>0611860520050</v>
      </c>
      <c r="B123" s="10" t="str">
        <f>"CR2004"</f>
        <v>CR2004</v>
      </c>
      <c r="C123" s="10" t="s">
        <v>104</v>
      </c>
    </row>
    <row r="124" spans="1:3" s="10" customFormat="1" x14ac:dyDescent="0.25">
      <c r="A124" s="10" t="str">
        <f>"0611860521050"</f>
        <v>0611860521050</v>
      </c>
      <c r="B124" s="10" t="str">
        <f>"CR2005"</f>
        <v>CR2005</v>
      </c>
      <c r="C124" s="10" t="s">
        <v>105</v>
      </c>
    </row>
    <row r="125" spans="1:3" s="10" customFormat="1" x14ac:dyDescent="0.25">
      <c r="A125" s="10" t="str">
        <f>"0611860522050"</f>
        <v>0611860522050</v>
      </c>
      <c r="B125" s="10" t="str">
        <f>"CR3281"</f>
        <v>CR3281</v>
      </c>
      <c r="C125" s="10" t="s">
        <v>106</v>
      </c>
    </row>
    <row r="126" spans="1:3" s="10" customFormat="1" x14ac:dyDescent="0.25">
      <c r="A126" s="10" t="str">
        <f>"0611860529050"</f>
        <v>0611860529050</v>
      </c>
      <c r="B126" s="10" t="str">
        <f>"CR4065"</f>
        <v>CR4065</v>
      </c>
      <c r="C126" s="10" t="s">
        <v>107</v>
      </c>
    </row>
    <row r="127" spans="1:3" s="10" customFormat="1" x14ac:dyDescent="0.25">
      <c r="A127" s="10" t="str">
        <f>"0611860530100"</f>
        <v>0611860530100</v>
      </c>
      <c r="B127" s="10" t="str">
        <f>"CN5014"</f>
        <v>CN5014</v>
      </c>
      <c r="C127" s="10" t="s">
        <v>108</v>
      </c>
    </row>
    <row r="128" spans="1:3" s="10" customFormat="1" x14ac:dyDescent="0.25">
      <c r="A128" s="10" t="str">
        <f>"0611860531050"</f>
        <v>0611860531050</v>
      </c>
      <c r="B128" s="10" t="str">
        <f>"CR4191"</f>
        <v>CR4191</v>
      </c>
      <c r="C128" s="10" t="s">
        <v>109</v>
      </c>
    </row>
    <row r="129" spans="1:3" s="10" customFormat="1" x14ac:dyDescent="0.25">
      <c r="A129" s="10" t="str">
        <f>"0611860532050"</f>
        <v>0611860532050</v>
      </c>
      <c r="B129" s="10" t="str">
        <f>"CR2007"</f>
        <v>CR2007</v>
      </c>
      <c r="C129" s="10" t="s">
        <v>110</v>
      </c>
    </row>
    <row r="130" spans="1:3" s="10" customFormat="1" x14ac:dyDescent="0.25">
      <c r="A130" s="10" t="str">
        <f>"0611860533050"</f>
        <v>0611860533050</v>
      </c>
      <c r="B130" s="10" t="str">
        <f>"CR4190"</f>
        <v>CR4190</v>
      </c>
      <c r="C130" s="10" t="s">
        <v>111</v>
      </c>
    </row>
    <row r="131" spans="1:3" s="10" customFormat="1" x14ac:dyDescent="0.25">
      <c r="A131" s="10" t="str">
        <f>"0611860534100"</f>
        <v>0611860534100</v>
      </c>
      <c r="B131" s="10" t="str">
        <f>"CN5016"</f>
        <v>CN5016</v>
      </c>
      <c r="C131" s="10" t="s">
        <v>112</v>
      </c>
    </row>
    <row r="132" spans="1:3" s="10" customFormat="1" x14ac:dyDescent="0.25">
      <c r="A132" s="10" t="str">
        <f>"0611860535050"</f>
        <v>0611860535050</v>
      </c>
      <c r="B132" s="10" t="str">
        <f>"CR4193"</f>
        <v>CR4193</v>
      </c>
      <c r="C132" s="10" t="s">
        <v>113</v>
      </c>
    </row>
    <row r="133" spans="1:3" s="10" customFormat="1" x14ac:dyDescent="0.25">
      <c r="A133" s="10" t="str">
        <f>"0611860536050"</f>
        <v>0611860536050</v>
      </c>
      <c r="B133" s="10" t="str">
        <f>"CR3358"</f>
        <v>CR3358</v>
      </c>
      <c r="C133" s="10" t="s">
        <v>114</v>
      </c>
    </row>
    <row r="134" spans="1:3" s="10" customFormat="1" x14ac:dyDescent="0.25">
      <c r="A134" s="10" t="str">
        <f>"0611860537100"</f>
        <v>0611860537100</v>
      </c>
      <c r="B134" s="10" t="str">
        <f>"CN5015"</f>
        <v>CN5015</v>
      </c>
      <c r="C134" s="10" t="s">
        <v>115</v>
      </c>
    </row>
    <row r="135" spans="1:3" s="10" customFormat="1" x14ac:dyDescent="0.25">
      <c r="A135" s="10" t="str">
        <f>"0611909896100"</f>
        <v>0611909896100</v>
      </c>
      <c r="B135" s="10" t="str">
        <f>""</f>
        <v/>
      </c>
      <c r="C135" s="10" t="s">
        <v>3018</v>
      </c>
    </row>
    <row r="136" spans="1:3" s="10" customFormat="1" x14ac:dyDescent="0.25">
      <c r="A136" s="10" t="str">
        <f>"0611909897050"</f>
        <v>0611909897050</v>
      </c>
      <c r="B136" s="10" t="str">
        <f>""</f>
        <v/>
      </c>
      <c r="C136" s="10" t="s">
        <v>3019</v>
      </c>
    </row>
    <row r="137" spans="1:3" s="10" customFormat="1" x14ac:dyDescent="0.25">
      <c r="A137" s="10" t="str">
        <f>"0611860541100"</f>
        <v>0611860541100</v>
      </c>
      <c r="B137" s="10" t="str">
        <f>"CN5018"</f>
        <v>CN5018</v>
      </c>
      <c r="C137" s="10" t="s">
        <v>116</v>
      </c>
    </row>
    <row r="138" spans="1:3" s="10" customFormat="1" x14ac:dyDescent="0.25">
      <c r="A138" s="10" t="str">
        <f>"0611860542100"</f>
        <v>0611860542100</v>
      </c>
      <c r="B138" s="10" t="str">
        <f>"CN5019"</f>
        <v>CN5019</v>
      </c>
      <c r="C138" s="10" t="s">
        <v>117</v>
      </c>
    </row>
    <row r="139" spans="1:3" s="10" customFormat="1" x14ac:dyDescent="0.25">
      <c r="A139" s="10" t="str">
        <f>"0611860543100"</f>
        <v>0611860543100</v>
      </c>
      <c r="B139" s="10" t="str">
        <f>"CN5020"</f>
        <v>CN5020</v>
      </c>
      <c r="C139" s="10" t="s">
        <v>118</v>
      </c>
    </row>
    <row r="140" spans="1:3" s="10" customFormat="1" x14ac:dyDescent="0.25">
      <c r="A140" t="str">
        <f>"0611831176025"</f>
        <v>0611831176025</v>
      </c>
      <c r="B140" t="str">
        <f>"MC3683"</f>
        <v>MC3683</v>
      </c>
      <c r="C140" t="s">
        <v>119</v>
      </c>
    </row>
    <row r="141" spans="1:3" s="10" customFormat="1" x14ac:dyDescent="0.25">
      <c r="A141" s="10" t="str">
        <f>"0611860557100"</f>
        <v>0611860557100</v>
      </c>
      <c r="B141" s="10" t="str">
        <f>"CN5021"</f>
        <v>CN5021</v>
      </c>
      <c r="C141" s="10" t="s">
        <v>120</v>
      </c>
    </row>
    <row r="142" spans="1:3" s="10" customFormat="1" x14ac:dyDescent="0.25">
      <c r="A142" s="10" t="str">
        <f>"0611860558100"</f>
        <v>0611860558100</v>
      </c>
      <c r="B142" s="10" t="str">
        <f>"CN5022"</f>
        <v>CN5022</v>
      </c>
      <c r="C142" s="10" t="s">
        <v>121</v>
      </c>
    </row>
    <row r="143" spans="1:3" s="10" customFormat="1" x14ac:dyDescent="0.25">
      <c r="A143" s="10" t="str">
        <f>"0611860559100"</f>
        <v>0611860559100</v>
      </c>
      <c r="B143" s="10" t="str">
        <f>"CN5023"</f>
        <v>CN5023</v>
      </c>
      <c r="C143" s="10" t="s">
        <v>122</v>
      </c>
    </row>
    <row r="144" spans="1:3" s="10" customFormat="1" x14ac:dyDescent="0.25">
      <c r="A144" s="10" t="str">
        <f>"0611860560050"</f>
        <v>0611860560050</v>
      </c>
      <c r="B144" s="10" t="str">
        <f>"CR2008"</f>
        <v>CR2008</v>
      </c>
      <c r="C144" s="10" t="s">
        <v>123</v>
      </c>
    </row>
    <row r="145" spans="1:3" s="10" customFormat="1" x14ac:dyDescent="0.25">
      <c r="A145" s="10" t="str">
        <f>"0611860561050"</f>
        <v>0611860561050</v>
      </c>
      <c r="B145" s="10" t="str">
        <f>"CR2009"</f>
        <v>CR2009</v>
      </c>
      <c r="C145" s="10" t="s">
        <v>124</v>
      </c>
    </row>
    <row r="146" spans="1:3" s="10" customFormat="1" x14ac:dyDescent="0.25">
      <c r="A146" s="10" t="str">
        <f>"0611860562050"</f>
        <v>0611860562050</v>
      </c>
      <c r="B146" s="10" t="str">
        <f>"CR2010"</f>
        <v>CR2010</v>
      </c>
      <c r="C146" s="10" t="s">
        <v>125</v>
      </c>
    </row>
    <row r="147" spans="1:3" s="10" customFormat="1" x14ac:dyDescent="0.25">
      <c r="A147" s="10" t="str">
        <f>"0611860563050"</f>
        <v>0611860563050</v>
      </c>
      <c r="B147" s="10" t="str">
        <f>"CR3059"</f>
        <v>CR3059</v>
      </c>
      <c r="C147" s="10" t="s">
        <v>126</v>
      </c>
    </row>
    <row r="148" spans="1:3" s="10" customFormat="1" x14ac:dyDescent="0.25">
      <c r="A148" s="10" t="str">
        <f>"0611860565050"</f>
        <v>0611860565050</v>
      </c>
      <c r="B148" s="10" t="str">
        <f>"CR3060"</f>
        <v>CR3060</v>
      </c>
      <c r="C148" s="10" t="s">
        <v>127</v>
      </c>
    </row>
    <row r="149" spans="1:3" s="10" customFormat="1" x14ac:dyDescent="0.25">
      <c r="A149" s="10" t="str">
        <f>"0611860566050"</f>
        <v>0611860566050</v>
      </c>
      <c r="B149" s="10" t="str">
        <f>"CR3061"</f>
        <v>CR3061</v>
      </c>
      <c r="C149" s="10" t="s">
        <v>128</v>
      </c>
    </row>
    <row r="150" spans="1:3" s="10" customFormat="1" x14ac:dyDescent="0.25">
      <c r="A150" s="10" t="str">
        <f>"0611860567050"</f>
        <v>0611860567050</v>
      </c>
      <c r="B150" s="10" t="str">
        <f>"CR3062"</f>
        <v>CR3062</v>
      </c>
      <c r="C150" s="10" t="s">
        <v>129</v>
      </c>
    </row>
    <row r="151" spans="1:3" s="10" customFormat="1" x14ac:dyDescent="0.25">
      <c r="A151" s="10" t="str">
        <f>"0611860568050"</f>
        <v>0611860568050</v>
      </c>
      <c r="B151" s="10" t="str">
        <f>"CR2011"</f>
        <v>CR2011</v>
      </c>
      <c r="C151" s="10" t="s">
        <v>130</v>
      </c>
    </row>
    <row r="152" spans="1:3" s="10" customFormat="1" x14ac:dyDescent="0.25">
      <c r="A152" s="10" t="str">
        <f>"0611860569050"</f>
        <v>0611860569050</v>
      </c>
      <c r="B152" s="10" t="str">
        <f>"CR3063"</f>
        <v>CR3063</v>
      </c>
      <c r="C152" s="10" t="s">
        <v>131</v>
      </c>
    </row>
    <row r="153" spans="1:3" s="10" customFormat="1" x14ac:dyDescent="0.25">
      <c r="A153" s="10" t="str">
        <f>"0611860570050"</f>
        <v>0611860570050</v>
      </c>
      <c r="B153" s="10" t="str">
        <f>"CR2012"</f>
        <v>CR2012</v>
      </c>
      <c r="C153" s="10" t="s">
        <v>132</v>
      </c>
    </row>
    <row r="154" spans="1:3" s="10" customFormat="1" x14ac:dyDescent="0.25">
      <c r="A154" s="10" t="str">
        <f>"0611860571050"</f>
        <v>0611860571050</v>
      </c>
      <c r="B154" s="10" t="str">
        <f>"CR2013"</f>
        <v>CR2013</v>
      </c>
      <c r="C154" s="10" t="s">
        <v>133</v>
      </c>
    </row>
    <row r="155" spans="1:3" s="10" customFormat="1" x14ac:dyDescent="0.25">
      <c r="A155" s="10" t="str">
        <f>"0611860577050"</f>
        <v>0611860577050</v>
      </c>
      <c r="B155" s="10" t="str">
        <f>"CR4911"</f>
        <v>CR4911</v>
      </c>
      <c r="C155" s="10" t="s">
        <v>134</v>
      </c>
    </row>
    <row r="156" spans="1:3" s="10" customFormat="1" x14ac:dyDescent="0.25">
      <c r="A156" s="10" t="str">
        <f>"0611860578050"</f>
        <v>0611860578050</v>
      </c>
      <c r="B156" s="10" t="str">
        <f>"CR3400"</f>
        <v>CR3400</v>
      </c>
      <c r="C156" s="10" t="s">
        <v>135</v>
      </c>
    </row>
    <row r="157" spans="1:3" s="10" customFormat="1" x14ac:dyDescent="0.25">
      <c r="A157" s="10" t="str">
        <f>"0611860579050"</f>
        <v>0611860579050</v>
      </c>
      <c r="B157" s="10" t="str">
        <f>"CR4912"</f>
        <v>CR4912</v>
      </c>
      <c r="C157" s="10" t="s">
        <v>136</v>
      </c>
    </row>
    <row r="158" spans="1:3" s="10" customFormat="1" x14ac:dyDescent="0.25">
      <c r="A158" s="10" t="str">
        <f>"0611860580050"</f>
        <v>0611860580050</v>
      </c>
      <c r="B158" s="10" t="str">
        <f>"CR4913"</f>
        <v>CR4913</v>
      </c>
      <c r="C158" s="10" t="s">
        <v>137</v>
      </c>
    </row>
    <row r="159" spans="1:3" s="10" customFormat="1" x14ac:dyDescent="0.25">
      <c r="A159" s="10" t="str">
        <f>"0611860581050"</f>
        <v>0611860581050</v>
      </c>
      <c r="B159" s="10" t="str">
        <f>"CR3401"</f>
        <v>CR3401</v>
      </c>
      <c r="C159" s="10" t="s">
        <v>138</v>
      </c>
    </row>
    <row r="160" spans="1:3" s="10" customFormat="1" x14ac:dyDescent="0.25">
      <c r="A160" s="10" t="str">
        <f>"0611860582050"</f>
        <v>0611860582050</v>
      </c>
      <c r="B160" s="10" t="str">
        <f>"CR2014"</f>
        <v>CR2014</v>
      </c>
      <c r="C160" s="10" t="s">
        <v>139</v>
      </c>
    </row>
    <row r="161" spans="1:3" s="10" customFormat="1" x14ac:dyDescent="0.25">
      <c r="A161" s="10" t="str">
        <f>"0611862532100"</f>
        <v>0611862532100</v>
      </c>
      <c r="B161" s="10" t="str">
        <f>"CN2333"</f>
        <v>CN2333</v>
      </c>
      <c r="C161" s="10" t="s">
        <v>140</v>
      </c>
    </row>
    <row r="162" spans="1:3" s="10" customFormat="1" x14ac:dyDescent="0.25">
      <c r="A162" s="10" t="str">
        <f>"0611860583050"</f>
        <v>0611860583050</v>
      </c>
      <c r="B162" s="10" t="str">
        <f>"CR5067"</f>
        <v>CR5067</v>
      </c>
      <c r="C162" s="10" t="s">
        <v>141</v>
      </c>
    </row>
    <row r="163" spans="1:3" s="10" customFormat="1" x14ac:dyDescent="0.25">
      <c r="A163" s="10" t="str">
        <f>"0611860584050"</f>
        <v>0611860584050</v>
      </c>
      <c r="B163" s="10" t="str">
        <f>"CR2611"</f>
        <v>CR2611</v>
      </c>
      <c r="C163" s="10" t="s">
        <v>142</v>
      </c>
    </row>
    <row r="164" spans="1:3" s="10" customFormat="1" x14ac:dyDescent="0.25">
      <c r="A164" s="10" t="str">
        <f>"0611860585050"</f>
        <v>0611860585050</v>
      </c>
      <c r="B164" s="10" t="str">
        <f>"CR2016"</f>
        <v>CR2016</v>
      </c>
      <c r="C164" s="10" t="s">
        <v>143</v>
      </c>
    </row>
    <row r="165" spans="1:3" s="10" customFormat="1" x14ac:dyDescent="0.25">
      <c r="A165" s="10" t="str">
        <f>"0611860586050"</f>
        <v>0611860586050</v>
      </c>
      <c r="B165" s="10" t="str">
        <f>"CR2017"</f>
        <v>CR2017</v>
      </c>
      <c r="C165" s="10" t="s">
        <v>144</v>
      </c>
    </row>
    <row r="166" spans="1:3" s="10" customFormat="1" x14ac:dyDescent="0.25">
      <c r="A166" s="10" t="str">
        <f>"0611860587050"</f>
        <v>0611860587050</v>
      </c>
      <c r="B166" s="10" t="str">
        <f>"CR2018"</f>
        <v>CR2018</v>
      </c>
      <c r="C166" s="10" t="s">
        <v>145</v>
      </c>
    </row>
    <row r="167" spans="1:3" s="10" customFormat="1" x14ac:dyDescent="0.25">
      <c r="A167" s="10" t="str">
        <f>"0611860588050"</f>
        <v>0611860588050</v>
      </c>
      <c r="B167" s="10" t="str">
        <f>"CR2019"</f>
        <v>CR2019</v>
      </c>
      <c r="C167" s="10" t="s">
        <v>146</v>
      </c>
    </row>
    <row r="168" spans="1:3" s="10" customFormat="1" x14ac:dyDescent="0.25">
      <c r="A168" s="10" t="str">
        <f>"0611860589050"</f>
        <v>0611860589050</v>
      </c>
      <c r="B168" s="10" t="str">
        <f>"CR3172"</f>
        <v>CR3172</v>
      </c>
      <c r="C168" s="10" t="s">
        <v>147</v>
      </c>
    </row>
    <row r="169" spans="1:3" s="10" customFormat="1" x14ac:dyDescent="0.25">
      <c r="A169" s="10" t="str">
        <f>"0611860590050"</f>
        <v>0611860590050</v>
      </c>
      <c r="B169" s="10" t="str">
        <f>"CR2021"</f>
        <v>CR2021</v>
      </c>
      <c r="C169" s="10" t="s">
        <v>148</v>
      </c>
    </row>
    <row r="170" spans="1:3" s="10" customFormat="1" x14ac:dyDescent="0.25">
      <c r="A170" s="10" t="str">
        <f>"0611860591050"</f>
        <v>0611860591050</v>
      </c>
      <c r="B170" s="10" t="str">
        <f>"CR3204"</f>
        <v>CR3204</v>
      </c>
      <c r="C170" s="10" t="s">
        <v>149</v>
      </c>
    </row>
    <row r="171" spans="1:3" s="10" customFormat="1" x14ac:dyDescent="0.25">
      <c r="A171" s="10" t="str">
        <f>"0611860592050"</f>
        <v>0611860592050</v>
      </c>
      <c r="B171" s="10" t="str">
        <f>"CR2607"</f>
        <v>CR2607</v>
      </c>
      <c r="C171" s="10" t="s">
        <v>150</v>
      </c>
    </row>
    <row r="172" spans="1:3" s="10" customFormat="1" x14ac:dyDescent="0.25">
      <c r="A172" t="str">
        <f>"0611831344100"</f>
        <v>0611831344100</v>
      </c>
      <c r="B172" t="str">
        <f>"LQ5793"</f>
        <v>LQ5793</v>
      </c>
      <c r="C172" t="s">
        <v>151</v>
      </c>
    </row>
    <row r="173" spans="1:3" s="10" customFormat="1" x14ac:dyDescent="0.25">
      <c r="A173" s="10" t="str">
        <f>"0611860593050"</f>
        <v>0611860593050</v>
      </c>
      <c r="B173" s="10" t="str">
        <f>"CR2022"</f>
        <v>CR2022</v>
      </c>
      <c r="C173" s="10" t="s">
        <v>152</v>
      </c>
    </row>
    <row r="174" spans="1:3" s="10" customFormat="1" x14ac:dyDescent="0.25">
      <c r="A174" s="10" t="str">
        <f>"0611860594050"</f>
        <v>0611860594050</v>
      </c>
      <c r="B174" s="10" t="str">
        <f>"CR2023"</f>
        <v>CR2023</v>
      </c>
      <c r="C174" s="10" t="s">
        <v>153</v>
      </c>
    </row>
    <row r="175" spans="1:3" s="10" customFormat="1" x14ac:dyDescent="0.25">
      <c r="A175" s="10" t="str">
        <f>"0611860595050"</f>
        <v>0611860595050</v>
      </c>
      <c r="B175" s="10" t="str">
        <f>"CR2024"</f>
        <v>CR2024</v>
      </c>
      <c r="C175" s="10" t="s">
        <v>154</v>
      </c>
    </row>
    <row r="176" spans="1:3" s="10" customFormat="1" x14ac:dyDescent="0.25">
      <c r="A176" s="10" t="str">
        <f>"0611860596050"</f>
        <v>0611860596050</v>
      </c>
      <c r="B176" s="10" t="str">
        <f>"CR2025"</f>
        <v>CR2025</v>
      </c>
      <c r="C176" s="10" t="s">
        <v>155</v>
      </c>
    </row>
    <row r="177" spans="1:3" s="10" customFormat="1" x14ac:dyDescent="0.25">
      <c r="A177" s="10" t="str">
        <f>"0611860597050"</f>
        <v>0611860597050</v>
      </c>
      <c r="B177" s="10" t="str">
        <f>"CR3205"</f>
        <v>CR3205</v>
      </c>
      <c r="C177" s="10" t="s">
        <v>156</v>
      </c>
    </row>
    <row r="178" spans="1:3" s="10" customFormat="1" x14ac:dyDescent="0.25">
      <c r="A178" s="10" t="str">
        <f>"0611860598050"</f>
        <v>0611860598050</v>
      </c>
      <c r="B178" s="10" t="str">
        <f>"CR2026"</f>
        <v>CR2026</v>
      </c>
      <c r="C178" s="10" t="s">
        <v>157</v>
      </c>
    </row>
    <row r="179" spans="1:3" s="10" customFormat="1" x14ac:dyDescent="0.25">
      <c r="A179" s="10" t="str">
        <f>"0611860599050"</f>
        <v>0611860599050</v>
      </c>
      <c r="B179" s="10" t="str">
        <f>"CR2027"</f>
        <v>CR2027</v>
      </c>
      <c r="C179" s="10" t="s">
        <v>158</v>
      </c>
    </row>
    <row r="180" spans="1:3" s="10" customFormat="1" x14ac:dyDescent="0.25">
      <c r="A180" s="10" t="str">
        <f>"0611860600050"</f>
        <v>0611860600050</v>
      </c>
      <c r="B180" s="10" t="str">
        <f>"CR2029"</f>
        <v>CR2029</v>
      </c>
      <c r="C180" s="10" t="s">
        <v>159</v>
      </c>
    </row>
    <row r="181" spans="1:3" s="10" customFormat="1" x14ac:dyDescent="0.25">
      <c r="A181" s="10" t="str">
        <f>"0611860610050"</f>
        <v>0611860610050</v>
      </c>
      <c r="B181" s="10" t="str">
        <f>"CR5128"</f>
        <v>CR5128</v>
      </c>
      <c r="C181" s="10" t="s">
        <v>160</v>
      </c>
    </row>
    <row r="182" spans="1:3" s="10" customFormat="1" x14ac:dyDescent="0.25">
      <c r="A182" s="10" t="str">
        <f>"0611860611050"</f>
        <v>0611860611050</v>
      </c>
      <c r="B182" s="10" t="str">
        <f>"CR4777"</f>
        <v>CR4777</v>
      </c>
      <c r="C182" s="10" t="s">
        <v>161</v>
      </c>
    </row>
    <row r="183" spans="1:3" s="10" customFormat="1" x14ac:dyDescent="0.25">
      <c r="A183" s="10" t="str">
        <f>"0611860612050"</f>
        <v>0611860612050</v>
      </c>
      <c r="B183" s="10" t="str">
        <f>"CR4778"</f>
        <v>CR4778</v>
      </c>
      <c r="C183" s="10" t="s">
        <v>162</v>
      </c>
    </row>
    <row r="184" spans="1:3" s="10" customFormat="1" x14ac:dyDescent="0.25">
      <c r="A184" s="10" t="str">
        <f>"0611860613050"</f>
        <v>0611860613050</v>
      </c>
      <c r="B184" s="10" t="str">
        <f>"CR4776"</f>
        <v>CR4776</v>
      </c>
      <c r="C184" s="10" t="s">
        <v>163</v>
      </c>
    </row>
    <row r="185" spans="1:3" s="10" customFormat="1" x14ac:dyDescent="0.25">
      <c r="A185" s="10" t="str">
        <f>"0611860614050"</f>
        <v>0611860614050</v>
      </c>
      <c r="B185" s="10" t="str">
        <f>"CR4775"</f>
        <v>CR4775</v>
      </c>
      <c r="C185" s="10" t="s">
        <v>164</v>
      </c>
    </row>
    <row r="186" spans="1:3" s="10" customFormat="1" x14ac:dyDescent="0.25">
      <c r="A186" s="10" t="str">
        <f>"0611860615050"</f>
        <v>0611860615050</v>
      </c>
      <c r="B186" s="10" t="str">
        <f>"CR2046"</f>
        <v>CR2046</v>
      </c>
      <c r="C186" s="10" t="s">
        <v>165</v>
      </c>
    </row>
    <row r="187" spans="1:3" s="10" customFormat="1" x14ac:dyDescent="0.25">
      <c r="A187" s="10" t="str">
        <f>"0611860616050"</f>
        <v>0611860616050</v>
      </c>
      <c r="B187" s="10" t="str">
        <f>"CR5251"</f>
        <v>CR5251</v>
      </c>
      <c r="C187" s="10" t="s">
        <v>166</v>
      </c>
    </row>
    <row r="188" spans="1:3" s="10" customFormat="1" x14ac:dyDescent="0.25">
      <c r="A188" s="10" t="str">
        <f>"0611884029050"</f>
        <v>0611884029050</v>
      </c>
      <c r="B188" s="10" t="str">
        <f>"CR5345"</f>
        <v>CR5345</v>
      </c>
      <c r="C188" s="10" t="s">
        <v>167</v>
      </c>
    </row>
    <row r="189" spans="1:3" s="10" customFormat="1" x14ac:dyDescent="0.25">
      <c r="A189" s="10" t="str">
        <f>"0611860617050"</f>
        <v>0611860617050</v>
      </c>
      <c r="B189" s="10" t="str">
        <f>"CR5126"</f>
        <v>CR5126</v>
      </c>
      <c r="C189" s="10" t="s">
        <v>168</v>
      </c>
    </row>
    <row r="190" spans="1:3" s="10" customFormat="1" x14ac:dyDescent="0.25">
      <c r="A190" s="10" t="str">
        <f>"0611860618050"</f>
        <v>0611860618050</v>
      </c>
      <c r="B190" s="10" t="str">
        <f>"CR4915"</f>
        <v>CR4915</v>
      </c>
      <c r="C190" s="10" t="s">
        <v>169</v>
      </c>
    </row>
    <row r="191" spans="1:3" s="10" customFormat="1" x14ac:dyDescent="0.25">
      <c r="A191" s="10" t="str">
        <f>"0611860619050"</f>
        <v>0611860619050</v>
      </c>
      <c r="B191" s="10" t="str">
        <f>"CR2047"</f>
        <v>CR2047</v>
      </c>
      <c r="C191" s="10" t="s">
        <v>170</v>
      </c>
    </row>
    <row r="192" spans="1:3" s="10" customFormat="1" x14ac:dyDescent="0.25">
      <c r="A192" s="10" t="str">
        <f>"0611860620050"</f>
        <v>0611860620050</v>
      </c>
      <c r="B192" s="10" t="str">
        <f>"CR3700"</f>
        <v>CR3700</v>
      </c>
      <c r="C192" s="10" t="s">
        <v>171</v>
      </c>
    </row>
    <row r="193" spans="1:3" s="10" customFormat="1" x14ac:dyDescent="0.25">
      <c r="A193" s="10" t="str">
        <f>"0611860621050"</f>
        <v>0611860621050</v>
      </c>
      <c r="B193" s="10" t="str">
        <f>"CR4779"</f>
        <v>CR4779</v>
      </c>
      <c r="C193" s="10" t="s">
        <v>172</v>
      </c>
    </row>
    <row r="194" spans="1:3" s="10" customFormat="1" x14ac:dyDescent="0.25">
      <c r="A194" s="10" t="str">
        <f>"0611860622050"</f>
        <v>0611860622050</v>
      </c>
      <c r="B194" s="10" t="str">
        <f>"CR3583"</f>
        <v>CR3583</v>
      </c>
      <c r="C194" s="10" t="s">
        <v>173</v>
      </c>
    </row>
    <row r="195" spans="1:3" s="10" customFormat="1" x14ac:dyDescent="0.25">
      <c r="A195" s="10" t="str">
        <f>"0611860623050"</f>
        <v>0611860623050</v>
      </c>
      <c r="B195" s="10" t="str">
        <f>"CR4916"</f>
        <v>CR4916</v>
      </c>
      <c r="C195" s="10" t="s">
        <v>174</v>
      </c>
    </row>
    <row r="196" spans="1:3" s="10" customFormat="1" x14ac:dyDescent="0.25">
      <c r="A196" s="10" t="str">
        <f>"0611860624050"</f>
        <v>0611860624050</v>
      </c>
      <c r="B196" s="10" t="str">
        <f>"CR3843"</f>
        <v>CR3843</v>
      </c>
      <c r="C196" s="10" t="s">
        <v>175</v>
      </c>
    </row>
    <row r="197" spans="1:3" s="10" customFormat="1" x14ac:dyDescent="0.25">
      <c r="A197" s="10" t="str">
        <f>"0611860625050"</f>
        <v>0611860625050</v>
      </c>
      <c r="B197" s="10" t="str">
        <f>"CR3846"</f>
        <v>CR3846</v>
      </c>
      <c r="C197" s="10" t="s">
        <v>176</v>
      </c>
    </row>
    <row r="198" spans="1:3" s="10" customFormat="1" x14ac:dyDescent="0.25">
      <c r="A198" s="10" t="str">
        <f>"0611884030050"</f>
        <v>0611884030050</v>
      </c>
      <c r="B198" s="10" t="str">
        <f>"CR5338"</f>
        <v>CR5338</v>
      </c>
      <c r="C198" s="10" t="s">
        <v>177</v>
      </c>
    </row>
    <row r="199" spans="1:3" s="10" customFormat="1" x14ac:dyDescent="0.25">
      <c r="A199" s="10" t="str">
        <f>"0611860626050"</f>
        <v>0611860626050</v>
      </c>
      <c r="B199" s="10" t="str">
        <f>"CR3848"</f>
        <v>CR3848</v>
      </c>
      <c r="C199" s="10" t="s">
        <v>178</v>
      </c>
    </row>
    <row r="200" spans="1:3" s="10" customFormat="1" x14ac:dyDescent="0.25">
      <c r="A200" s="10" t="str">
        <f>"0611860627050"</f>
        <v>0611860627050</v>
      </c>
      <c r="B200" s="10" t="str">
        <f>"CR3847"</f>
        <v>CR3847</v>
      </c>
      <c r="C200" s="10" t="s">
        <v>179</v>
      </c>
    </row>
    <row r="201" spans="1:3" s="10" customFormat="1" x14ac:dyDescent="0.25">
      <c r="A201" s="10" t="str">
        <f>"0611860628050"</f>
        <v>0611860628050</v>
      </c>
      <c r="B201" s="10" t="str">
        <f>"CR3845"</f>
        <v>CR3845</v>
      </c>
      <c r="C201" s="10" t="s">
        <v>180</v>
      </c>
    </row>
    <row r="202" spans="1:3" s="10" customFormat="1" x14ac:dyDescent="0.25">
      <c r="A202" s="10" t="str">
        <f>"0611860629050"</f>
        <v>0611860629050</v>
      </c>
      <c r="B202" s="10" t="str">
        <f>"CR3844"</f>
        <v>CR3844</v>
      </c>
      <c r="C202" s="10" t="s">
        <v>181</v>
      </c>
    </row>
    <row r="203" spans="1:3" s="10" customFormat="1" x14ac:dyDescent="0.25">
      <c r="A203" s="10" t="str">
        <f>"0611860630050"</f>
        <v>0611860630050</v>
      </c>
      <c r="B203" s="10" t="str">
        <f>"CR3849"</f>
        <v>CR3849</v>
      </c>
      <c r="C203" s="10" t="s">
        <v>182</v>
      </c>
    </row>
    <row r="204" spans="1:3" s="10" customFormat="1" x14ac:dyDescent="0.25">
      <c r="A204" s="10" t="str">
        <f>"0611860631050"</f>
        <v>0611860631050</v>
      </c>
      <c r="B204" s="10" t="str">
        <f>"CR3968"</f>
        <v>CR3968</v>
      </c>
      <c r="C204" s="10" t="s">
        <v>183</v>
      </c>
    </row>
    <row r="205" spans="1:3" s="10" customFormat="1" x14ac:dyDescent="0.25">
      <c r="A205" s="10" t="str">
        <f>"0611860632050"</f>
        <v>0611860632050</v>
      </c>
      <c r="B205" s="10" t="str">
        <f>"CR5127"</f>
        <v>CR5127</v>
      </c>
      <c r="C205" s="10" t="s">
        <v>184</v>
      </c>
    </row>
    <row r="206" spans="1:3" s="10" customFormat="1" x14ac:dyDescent="0.25">
      <c r="A206" s="10" t="str">
        <f>"0611860633050"</f>
        <v>0611860633050</v>
      </c>
      <c r="B206" s="10" t="str">
        <f>"CR2787"</f>
        <v>CR2787</v>
      </c>
      <c r="C206" s="10" t="s">
        <v>185</v>
      </c>
    </row>
    <row r="207" spans="1:3" s="10" customFormat="1" x14ac:dyDescent="0.25">
      <c r="A207" s="10" t="str">
        <f>"0611884031050"</f>
        <v>0611884031050</v>
      </c>
      <c r="B207" s="10" t="str">
        <f>"CR5424"</f>
        <v>CR5424</v>
      </c>
      <c r="C207" s="10" t="s">
        <v>186</v>
      </c>
    </row>
    <row r="208" spans="1:3" s="10" customFormat="1" x14ac:dyDescent="0.25">
      <c r="A208" s="10" t="str">
        <f>"0611860634050"</f>
        <v>0611860634050</v>
      </c>
      <c r="B208" s="10" t="str">
        <f>"CR3969"</f>
        <v>CR3969</v>
      </c>
      <c r="C208" s="10" t="s">
        <v>187</v>
      </c>
    </row>
    <row r="209" spans="1:3" s="10" customFormat="1" x14ac:dyDescent="0.25">
      <c r="A209" s="10" t="str">
        <f>"0611884032050"</f>
        <v>0611884032050</v>
      </c>
      <c r="B209" s="10" t="str">
        <f>"CR5386"</f>
        <v>CR5386</v>
      </c>
      <c r="C209" s="10" t="s">
        <v>188</v>
      </c>
    </row>
    <row r="210" spans="1:3" s="10" customFormat="1" x14ac:dyDescent="0.25">
      <c r="A210" s="10" t="str">
        <f>"0611860635050"</f>
        <v>0611860635050</v>
      </c>
      <c r="B210" s="10" t="str">
        <f>"CR2788"</f>
        <v>CR2788</v>
      </c>
      <c r="C210" s="10" t="s">
        <v>189</v>
      </c>
    </row>
    <row r="211" spans="1:3" s="10" customFormat="1" x14ac:dyDescent="0.25">
      <c r="A211" s="10" t="str">
        <f>"0611860636050"</f>
        <v>0611860636050</v>
      </c>
      <c r="B211" s="10" t="str">
        <f>"CR4774"</f>
        <v>CR4774</v>
      </c>
      <c r="C211" s="10" t="s">
        <v>190</v>
      </c>
    </row>
    <row r="212" spans="1:3" s="10" customFormat="1" x14ac:dyDescent="0.25">
      <c r="A212" s="10" t="str">
        <f>"0611860637050"</f>
        <v>0611860637050</v>
      </c>
      <c r="B212" s="10" t="str">
        <f>"CR2050"</f>
        <v>CR2050</v>
      </c>
      <c r="C212" s="10" t="s">
        <v>191</v>
      </c>
    </row>
    <row r="213" spans="1:3" s="10" customFormat="1" x14ac:dyDescent="0.25">
      <c r="A213" s="10" t="str">
        <f>"0611860638050"</f>
        <v>0611860638050</v>
      </c>
      <c r="B213" s="10" t="str">
        <f>"CR5129"</f>
        <v>CR5129</v>
      </c>
      <c r="C213" s="10" t="s">
        <v>192</v>
      </c>
    </row>
    <row r="214" spans="1:3" s="10" customFormat="1" x14ac:dyDescent="0.25">
      <c r="A214" s="10" t="str">
        <f>"0611884042050"</f>
        <v>0611884042050</v>
      </c>
      <c r="B214" s="10" t="str">
        <f>"CR5331"</f>
        <v>CR5331</v>
      </c>
      <c r="C214" s="10" t="s">
        <v>193</v>
      </c>
    </row>
    <row r="215" spans="1:3" s="10" customFormat="1" x14ac:dyDescent="0.25">
      <c r="A215" s="10" t="str">
        <f>"0611860639050"</f>
        <v>0611860639050</v>
      </c>
      <c r="B215" s="10" t="str">
        <f>"CR4085"</f>
        <v>CR4085</v>
      </c>
      <c r="C215" s="10" t="s">
        <v>194</v>
      </c>
    </row>
    <row r="216" spans="1:3" s="10" customFormat="1" x14ac:dyDescent="0.25">
      <c r="A216" s="10" t="str">
        <f>"0611884043050"</f>
        <v>0611884043050</v>
      </c>
      <c r="B216" s="10" t="str">
        <f>"CR5332"</f>
        <v>CR5332</v>
      </c>
      <c r="C216" s="10" t="s">
        <v>195</v>
      </c>
    </row>
    <row r="217" spans="1:3" s="10" customFormat="1" x14ac:dyDescent="0.25">
      <c r="A217" s="10" t="str">
        <f>"0611860640050"</f>
        <v>0611860640050</v>
      </c>
      <c r="B217" s="10" t="str">
        <f>"CR4086"</f>
        <v>CR4086</v>
      </c>
      <c r="C217" s="10" t="s">
        <v>196</v>
      </c>
    </row>
    <row r="218" spans="1:3" s="10" customFormat="1" x14ac:dyDescent="0.25">
      <c r="A218" s="10" t="str">
        <f>"0611860641050"</f>
        <v>0611860641050</v>
      </c>
      <c r="B218" s="10" t="str">
        <f>"CR5130"</f>
        <v>CR5130</v>
      </c>
      <c r="C218" s="10" t="s">
        <v>197</v>
      </c>
    </row>
    <row r="219" spans="1:3" s="10" customFormat="1" x14ac:dyDescent="0.25">
      <c r="A219" s="10" t="str">
        <f>"0611860642050"</f>
        <v>0611860642050</v>
      </c>
      <c r="B219" s="10" t="str">
        <f>"CR4087"</f>
        <v>CR4087</v>
      </c>
      <c r="C219" s="10" t="s">
        <v>198</v>
      </c>
    </row>
    <row r="220" spans="1:3" s="10" customFormat="1" x14ac:dyDescent="0.25">
      <c r="A220" s="10" t="str">
        <f>"0611860643050"</f>
        <v>0611860643050</v>
      </c>
      <c r="B220" s="10" t="str">
        <f>"CR5131"</f>
        <v>CR5131</v>
      </c>
      <c r="C220" s="10" t="s">
        <v>199</v>
      </c>
    </row>
    <row r="221" spans="1:3" s="10" customFormat="1" x14ac:dyDescent="0.25">
      <c r="A221" s="10" t="str">
        <f>"0611884044050"</f>
        <v>0611884044050</v>
      </c>
      <c r="B221" s="10" t="str">
        <f>"CR5330"</f>
        <v>CR5330</v>
      </c>
      <c r="C221" s="10" t="s">
        <v>200</v>
      </c>
    </row>
    <row r="222" spans="1:3" s="10" customFormat="1" x14ac:dyDescent="0.25">
      <c r="A222" s="10" t="str">
        <f>"0611860644050"</f>
        <v>0611860644050</v>
      </c>
      <c r="B222" s="10" t="str">
        <f>"CR2031"</f>
        <v>CR2031</v>
      </c>
      <c r="C222" s="10" t="s">
        <v>201</v>
      </c>
    </row>
    <row r="223" spans="1:3" s="10" customFormat="1" x14ac:dyDescent="0.25">
      <c r="A223" s="10" t="str">
        <f>"0611860645050"</f>
        <v>0611860645050</v>
      </c>
      <c r="B223" s="10" t="str">
        <f>"CR2032"</f>
        <v>CR2032</v>
      </c>
      <c r="C223" s="10" t="s">
        <v>202</v>
      </c>
    </row>
    <row r="224" spans="1:3" s="10" customFormat="1" x14ac:dyDescent="0.25">
      <c r="A224" t="str">
        <f>"0611831500100"</f>
        <v>0611831500100</v>
      </c>
      <c r="B224" t="str">
        <f>"LQ3507"</f>
        <v>LQ3507</v>
      </c>
      <c r="C224" t="s">
        <v>203</v>
      </c>
    </row>
    <row r="225" spans="1:3" s="10" customFormat="1" x14ac:dyDescent="0.25">
      <c r="A225" s="10" t="str">
        <f>"0611860646050"</f>
        <v>0611860646050</v>
      </c>
      <c r="B225" s="10" t="str">
        <f>"CR2034"</f>
        <v>CR2034</v>
      </c>
      <c r="C225" s="10" t="s">
        <v>204</v>
      </c>
    </row>
    <row r="226" spans="1:3" s="10" customFormat="1" x14ac:dyDescent="0.25">
      <c r="A226" s="10" t="str">
        <f>"0611860647050"</f>
        <v>0611860647050</v>
      </c>
      <c r="B226" s="10" t="str">
        <f>"CR3478"</f>
        <v>CR3478</v>
      </c>
      <c r="C226" s="10" t="s">
        <v>205</v>
      </c>
    </row>
    <row r="227" spans="1:3" s="10" customFormat="1" x14ac:dyDescent="0.25">
      <c r="A227" s="10" t="str">
        <f>"0611860648050"</f>
        <v>0611860648050</v>
      </c>
      <c r="B227" s="10" t="str">
        <f>"CR4100"</f>
        <v>CR4100</v>
      </c>
      <c r="C227" s="10" t="s">
        <v>206</v>
      </c>
    </row>
    <row r="228" spans="1:3" s="10" customFormat="1" x14ac:dyDescent="0.25">
      <c r="A228" s="10" t="str">
        <f>"0611860649050"</f>
        <v>0611860649050</v>
      </c>
      <c r="B228" s="10" t="str">
        <f>"CR4101"</f>
        <v>CR4101</v>
      </c>
      <c r="C228" s="10" t="s">
        <v>207</v>
      </c>
    </row>
    <row r="229" spans="1:3" s="10" customFormat="1" x14ac:dyDescent="0.25">
      <c r="A229" s="10" t="str">
        <f>"0611860650050"</f>
        <v>0611860650050</v>
      </c>
      <c r="B229" s="10" t="str">
        <f>"CR2036"</f>
        <v>CR2036</v>
      </c>
      <c r="C229" s="10" t="s">
        <v>208</v>
      </c>
    </row>
    <row r="230" spans="1:3" s="10" customFormat="1" x14ac:dyDescent="0.25">
      <c r="A230" s="10" t="str">
        <f>"0611860651050"</f>
        <v>0611860651050</v>
      </c>
      <c r="B230" s="10" t="str">
        <f>"CR2037"</f>
        <v>CR2037</v>
      </c>
      <c r="C230" s="10" t="s">
        <v>209</v>
      </c>
    </row>
    <row r="231" spans="1:3" s="10" customFormat="1" x14ac:dyDescent="0.25">
      <c r="A231" s="10" t="str">
        <f>"0611860652050"</f>
        <v>0611860652050</v>
      </c>
      <c r="B231" s="10" t="str">
        <f>"CR2038"</f>
        <v>CR2038</v>
      </c>
      <c r="C231" s="10" t="s">
        <v>210</v>
      </c>
    </row>
    <row r="232" spans="1:3" s="10" customFormat="1" x14ac:dyDescent="0.25">
      <c r="A232" s="10" t="str">
        <f>"0611860653050"</f>
        <v>0611860653050</v>
      </c>
      <c r="B232" s="10" t="str">
        <f>"CR4102"</f>
        <v>CR4102</v>
      </c>
      <c r="C232" s="10" t="s">
        <v>211</v>
      </c>
    </row>
    <row r="233" spans="1:3" s="10" customFormat="1" x14ac:dyDescent="0.25">
      <c r="A233" s="10" t="str">
        <f>"0611860654050"</f>
        <v>0611860654050</v>
      </c>
      <c r="B233" s="10" t="str">
        <f>"CR2039"</f>
        <v>CR2039</v>
      </c>
      <c r="C233" s="10" t="s">
        <v>212</v>
      </c>
    </row>
    <row r="234" spans="1:3" s="10" customFormat="1" x14ac:dyDescent="0.25">
      <c r="A234" s="10" t="str">
        <f>"0611860655050"</f>
        <v>0611860655050</v>
      </c>
      <c r="B234" s="10" t="str">
        <f>"CR2040"</f>
        <v>CR2040</v>
      </c>
      <c r="C234" s="10" t="s">
        <v>213</v>
      </c>
    </row>
    <row r="235" spans="1:3" s="10" customFormat="1" x14ac:dyDescent="0.25">
      <c r="A235" s="10" t="str">
        <f>"0611860656050"</f>
        <v>0611860656050</v>
      </c>
      <c r="B235" s="10" t="str">
        <f>"CR2041"</f>
        <v>CR2041</v>
      </c>
      <c r="C235" s="10" t="s">
        <v>214</v>
      </c>
    </row>
    <row r="236" spans="1:3" s="10" customFormat="1" x14ac:dyDescent="0.25">
      <c r="A236" s="10" t="str">
        <f>"0611860657050"</f>
        <v>0611860657050</v>
      </c>
      <c r="B236" s="10" t="str">
        <f>"CR2042"</f>
        <v>CR2042</v>
      </c>
      <c r="C236" s="10" t="s">
        <v>215</v>
      </c>
    </row>
    <row r="237" spans="1:3" s="10" customFormat="1" x14ac:dyDescent="0.25">
      <c r="A237" s="10" t="str">
        <f>"0611860658050"</f>
        <v>0611860658050</v>
      </c>
      <c r="B237" s="10" t="str">
        <f>"CR2043"</f>
        <v>CR2043</v>
      </c>
      <c r="C237" s="10" t="s">
        <v>216</v>
      </c>
    </row>
    <row r="238" spans="1:3" s="10" customFormat="1" x14ac:dyDescent="0.25">
      <c r="A238" s="10" t="str">
        <f>"0611860659050"</f>
        <v>0611860659050</v>
      </c>
      <c r="B238" s="10" t="str">
        <f>"CR4103"</f>
        <v>CR4103</v>
      </c>
      <c r="C238" s="10" t="s">
        <v>217</v>
      </c>
    </row>
    <row r="239" spans="1:3" s="10" customFormat="1" x14ac:dyDescent="0.25">
      <c r="A239" s="10" t="str">
        <f>"0611860660050"</f>
        <v>0611860660050</v>
      </c>
      <c r="B239" s="10" t="str">
        <f>"CR2045"</f>
        <v>CR2045</v>
      </c>
      <c r="C239" s="10" t="s">
        <v>218</v>
      </c>
    </row>
    <row r="240" spans="1:3" s="10" customFormat="1" x14ac:dyDescent="0.25">
      <c r="A240" s="10" t="str">
        <f>"0611860661050"</f>
        <v>0611860661050</v>
      </c>
      <c r="B240" s="10" t="str">
        <f>"CR2044"</f>
        <v>CR2044</v>
      </c>
      <c r="C240" s="10" t="s">
        <v>219</v>
      </c>
    </row>
    <row r="241" spans="1:3" s="10" customFormat="1" x14ac:dyDescent="0.25">
      <c r="A241" s="10" t="str">
        <f>"0611860664050"</f>
        <v>0611860664050</v>
      </c>
      <c r="B241" s="10" t="str">
        <f>"CR2048"</f>
        <v>CR2048</v>
      </c>
      <c r="C241" s="10" t="s">
        <v>220</v>
      </c>
    </row>
    <row r="242" spans="1:3" s="10" customFormat="1" x14ac:dyDescent="0.25">
      <c r="A242" s="10" t="str">
        <f>"0611860665050"</f>
        <v>0611860665050</v>
      </c>
      <c r="B242" s="10" t="str">
        <f>"CR3667"</f>
        <v>CR3667</v>
      </c>
      <c r="C242" s="10" t="s">
        <v>221</v>
      </c>
    </row>
    <row r="243" spans="1:3" s="10" customFormat="1" x14ac:dyDescent="0.25">
      <c r="A243" s="10" t="str">
        <f>"0611860666050"</f>
        <v>0611860666050</v>
      </c>
      <c r="B243" s="10" t="str">
        <f>"CR2049"</f>
        <v>CR2049</v>
      </c>
      <c r="C243" s="10" t="s">
        <v>222</v>
      </c>
    </row>
    <row r="244" spans="1:3" s="10" customFormat="1" x14ac:dyDescent="0.25">
      <c r="A244" s="10" t="str">
        <f>"0611860667050"</f>
        <v>0611860667050</v>
      </c>
      <c r="B244" s="10" t="str">
        <f>"CR2035"</f>
        <v>CR2035</v>
      </c>
      <c r="C244" s="10" t="s">
        <v>223</v>
      </c>
    </row>
    <row r="245" spans="1:3" s="10" customFormat="1" x14ac:dyDescent="0.25">
      <c r="A245" s="10" t="str">
        <f>"0611860668050"</f>
        <v>0611860668050</v>
      </c>
      <c r="B245" s="10" t="str">
        <f>"CR2051"</f>
        <v>CR2051</v>
      </c>
      <c r="C245" s="10" t="s">
        <v>224</v>
      </c>
    </row>
    <row r="246" spans="1:3" s="10" customFormat="1" x14ac:dyDescent="0.25">
      <c r="A246" s="10" t="str">
        <f>"0611860669050"</f>
        <v>0611860669050</v>
      </c>
      <c r="B246" s="10" t="str">
        <f>"CR3586"</f>
        <v>CR3586</v>
      </c>
      <c r="C246" s="10" t="s">
        <v>225</v>
      </c>
    </row>
    <row r="247" spans="1:3" s="10" customFormat="1" x14ac:dyDescent="0.25">
      <c r="A247" s="10" t="str">
        <f>"0611860670050"</f>
        <v>0611860670050</v>
      </c>
      <c r="B247" s="10" t="str">
        <f>"CR4001"</f>
        <v>CR4001</v>
      </c>
      <c r="C247" s="10" t="s">
        <v>226</v>
      </c>
    </row>
    <row r="248" spans="1:3" s="10" customFormat="1" x14ac:dyDescent="0.25">
      <c r="A248" s="10" t="str">
        <f>"0611906537050"</f>
        <v>0611906537050</v>
      </c>
      <c r="B248" s="10" t="str">
        <f>"CR5460"</f>
        <v>CR5460</v>
      </c>
      <c r="C248" s="10" t="s">
        <v>227</v>
      </c>
    </row>
    <row r="249" spans="1:3" s="10" customFormat="1" x14ac:dyDescent="0.25">
      <c r="A249" s="10" t="str">
        <f>"0611860671050"</f>
        <v>0611860671050</v>
      </c>
      <c r="B249" s="10" t="str">
        <f>"CR3955"</f>
        <v>CR3955</v>
      </c>
      <c r="C249" s="10" t="s">
        <v>228</v>
      </c>
    </row>
    <row r="250" spans="1:3" s="10" customFormat="1" x14ac:dyDescent="0.25">
      <c r="A250" s="10" t="str">
        <f>"0611860672050"</f>
        <v>0611860672050</v>
      </c>
      <c r="B250" s="10" t="str">
        <f>"CR2052"</f>
        <v>CR2052</v>
      </c>
      <c r="C250" s="10" t="s">
        <v>229</v>
      </c>
    </row>
    <row r="251" spans="1:3" s="10" customFormat="1" x14ac:dyDescent="0.25">
      <c r="A251" s="10" t="str">
        <f>"0611860673050"</f>
        <v>0611860673050</v>
      </c>
      <c r="B251" s="10" t="str">
        <f>"CR2053"</f>
        <v>CR2053</v>
      </c>
      <c r="C251" s="10" t="s">
        <v>230</v>
      </c>
    </row>
    <row r="252" spans="1:3" s="10" customFormat="1" x14ac:dyDescent="0.25">
      <c r="A252" s="10" t="str">
        <f>"0611860674050"</f>
        <v>0611860674050</v>
      </c>
      <c r="B252" s="10" t="str">
        <f>"CR3064"</f>
        <v>CR3064</v>
      </c>
      <c r="C252" s="10" t="s">
        <v>231</v>
      </c>
    </row>
    <row r="253" spans="1:3" s="10" customFormat="1" x14ac:dyDescent="0.25">
      <c r="A253" s="10" t="str">
        <f>"0611860675050"</f>
        <v>0611860675050</v>
      </c>
      <c r="B253" s="10" t="str">
        <f>"CR2054"</f>
        <v>CR2054</v>
      </c>
      <c r="C253" s="10" t="s">
        <v>232</v>
      </c>
    </row>
    <row r="254" spans="1:3" s="10" customFormat="1" x14ac:dyDescent="0.25">
      <c r="A254" s="10" t="str">
        <f>"0611860676050"</f>
        <v>0611860676050</v>
      </c>
      <c r="B254" s="10" t="str">
        <f>"CR3585"</f>
        <v>CR3585</v>
      </c>
      <c r="C254" s="10" t="s">
        <v>233</v>
      </c>
    </row>
    <row r="255" spans="1:3" s="10" customFormat="1" x14ac:dyDescent="0.25">
      <c r="A255" t="str">
        <f>"0611831768100"</f>
        <v>0611831768100</v>
      </c>
      <c r="B255" t="str">
        <f>"LQ6152"</f>
        <v>LQ6152</v>
      </c>
      <c r="C255" t="s">
        <v>234</v>
      </c>
    </row>
    <row r="256" spans="1:3" s="10" customFormat="1" x14ac:dyDescent="0.25">
      <c r="A256" t="str">
        <f>"0611831769100"</f>
        <v>0611831769100</v>
      </c>
      <c r="B256" t="str">
        <f>"LQ6089"</f>
        <v>LQ6089</v>
      </c>
      <c r="C256" t="s">
        <v>235</v>
      </c>
    </row>
    <row r="257" spans="1:3" s="10" customFormat="1" x14ac:dyDescent="0.25">
      <c r="A257" t="str">
        <f>"0611831770100"</f>
        <v>0611831770100</v>
      </c>
      <c r="B257" t="str">
        <f>"LQ6052"</f>
        <v>LQ6052</v>
      </c>
      <c r="C257" t="s">
        <v>236</v>
      </c>
    </row>
    <row r="258" spans="1:3" s="10" customFormat="1" x14ac:dyDescent="0.25">
      <c r="A258" t="str">
        <f>"0611884054100"</f>
        <v>0611884054100</v>
      </c>
      <c r="B258" t="str">
        <f>"LQ6289"</f>
        <v>LQ6289</v>
      </c>
      <c r="C258" t="s">
        <v>237</v>
      </c>
    </row>
    <row r="259" spans="1:3" s="10" customFormat="1" x14ac:dyDescent="0.25">
      <c r="A259" s="10" t="str">
        <f>"0611860685050"</f>
        <v>0611860685050</v>
      </c>
      <c r="B259" s="10" t="str">
        <f>"CR4917"</f>
        <v>CR4917</v>
      </c>
      <c r="C259" s="10" t="s">
        <v>238</v>
      </c>
    </row>
    <row r="260" spans="1:3" s="10" customFormat="1" x14ac:dyDescent="0.25">
      <c r="A260" s="10" t="str">
        <f>"0611860686050"</f>
        <v>0611860686050</v>
      </c>
      <c r="B260" s="10" t="str">
        <f>"CR4919"</f>
        <v>CR4919</v>
      </c>
      <c r="C260" s="10" t="s">
        <v>239</v>
      </c>
    </row>
    <row r="261" spans="1:3" s="10" customFormat="1" x14ac:dyDescent="0.25">
      <c r="A261" s="10" t="str">
        <f>"0611860687050"</f>
        <v>0611860687050</v>
      </c>
      <c r="B261" s="10" t="str">
        <f>"CR4918"</f>
        <v>CR4918</v>
      </c>
      <c r="C261" s="10" t="s">
        <v>240</v>
      </c>
    </row>
    <row r="262" spans="1:3" s="10" customFormat="1" x14ac:dyDescent="0.25">
      <c r="A262" s="10" t="str">
        <f>"0611860688050"</f>
        <v>0611860688050</v>
      </c>
      <c r="B262" s="10" t="str">
        <f>"CR4920"</f>
        <v>CR4920</v>
      </c>
      <c r="C262" s="10" t="s">
        <v>241</v>
      </c>
    </row>
    <row r="263" spans="1:3" s="10" customFormat="1" x14ac:dyDescent="0.25">
      <c r="A263" s="10" t="str">
        <f>"0611860689050"</f>
        <v>0611860689050</v>
      </c>
      <c r="B263" s="10" t="str">
        <f>"CR2612"</f>
        <v>CR2612</v>
      </c>
      <c r="C263" s="10" t="s">
        <v>242</v>
      </c>
    </row>
    <row r="264" spans="1:3" s="10" customFormat="1" x14ac:dyDescent="0.25">
      <c r="A264" s="10" t="str">
        <f>"0611860690050"</f>
        <v>0611860690050</v>
      </c>
      <c r="B264" s="10" t="str">
        <f>"CR4040"</f>
        <v>CR4040</v>
      </c>
      <c r="C264" s="10" t="s">
        <v>243</v>
      </c>
    </row>
    <row r="265" spans="1:3" s="10" customFormat="1" x14ac:dyDescent="0.25">
      <c r="A265" s="10" t="str">
        <f>"0611860691050"</f>
        <v>0611860691050</v>
      </c>
      <c r="B265" s="10" t="str">
        <f>"CR4041"</f>
        <v>CR4041</v>
      </c>
      <c r="C265" s="10" t="s">
        <v>244</v>
      </c>
    </row>
    <row r="266" spans="1:3" s="10" customFormat="1" x14ac:dyDescent="0.25">
      <c r="A266" s="10" t="str">
        <f>"0611860692050"</f>
        <v>0611860692050</v>
      </c>
      <c r="B266" s="10" t="str">
        <f>"CR4042"</f>
        <v>CR4042</v>
      </c>
      <c r="C266" s="10" t="s">
        <v>245</v>
      </c>
    </row>
    <row r="267" spans="1:3" s="10" customFormat="1" x14ac:dyDescent="0.25">
      <c r="A267" s="10" t="str">
        <f>"0611860693050"</f>
        <v>0611860693050</v>
      </c>
      <c r="B267" s="10" t="str">
        <f>"CR5029"</f>
        <v>CR5029</v>
      </c>
      <c r="C267" s="10" t="s">
        <v>246</v>
      </c>
    </row>
    <row r="268" spans="1:3" s="10" customFormat="1" x14ac:dyDescent="0.25">
      <c r="A268" s="10" t="str">
        <f>"0611860695050"</f>
        <v>0611860695050</v>
      </c>
      <c r="B268" s="10" t="str">
        <f>"CR4043"</f>
        <v>CR4043</v>
      </c>
      <c r="C268" s="10" t="s">
        <v>247</v>
      </c>
    </row>
    <row r="269" spans="1:3" s="10" customFormat="1" x14ac:dyDescent="0.25">
      <c r="A269" s="10" t="str">
        <f>"0611860696050"</f>
        <v>0611860696050</v>
      </c>
      <c r="B269" s="10" t="str">
        <f>"CR4090"</f>
        <v>CR4090</v>
      </c>
      <c r="C269" s="10" t="s">
        <v>248</v>
      </c>
    </row>
    <row r="270" spans="1:3" s="10" customFormat="1" x14ac:dyDescent="0.25">
      <c r="A270" s="10" t="str">
        <f>"0611860700050"</f>
        <v>0611860700050</v>
      </c>
      <c r="B270" s="10" t="str">
        <f>"CR4204"</f>
        <v>CR4204</v>
      </c>
      <c r="C270" s="10" t="s">
        <v>249</v>
      </c>
    </row>
    <row r="271" spans="1:3" s="10" customFormat="1" x14ac:dyDescent="0.25">
      <c r="A271" s="10" t="str">
        <f>"0611860701050"</f>
        <v>0611860701050</v>
      </c>
      <c r="B271" s="10" t="str">
        <f>"CR4200"</f>
        <v>CR4200</v>
      </c>
      <c r="C271" s="10" t="s">
        <v>250</v>
      </c>
    </row>
    <row r="272" spans="1:3" s="10" customFormat="1" x14ac:dyDescent="0.25">
      <c r="A272" s="10" t="str">
        <f>"0611860702050"</f>
        <v>0611860702050</v>
      </c>
      <c r="B272" s="10" t="str">
        <f>"CR4201"</f>
        <v>CR4201</v>
      </c>
      <c r="C272" s="10" t="s">
        <v>251</v>
      </c>
    </row>
    <row r="273" spans="1:3" s="10" customFormat="1" x14ac:dyDescent="0.25">
      <c r="A273" s="10" t="str">
        <f>"0611860703050"</f>
        <v>0611860703050</v>
      </c>
      <c r="B273" s="10" t="str">
        <f>"CR4202"</f>
        <v>CR4202</v>
      </c>
      <c r="C273" s="10" t="s">
        <v>252</v>
      </c>
    </row>
    <row r="274" spans="1:3" s="10" customFormat="1" x14ac:dyDescent="0.25">
      <c r="A274" s="10" t="str">
        <f>"0611860704050"</f>
        <v>0611860704050</v>
      </c>
      <c r="B274" s="10" t="str">
        <f>"CR4203"</f>
        <v>CR4203</v>
      </c>
      <c r="C274" s="10" t="s">
        <v>253</v>
      </c>
    </row>
    <row r="275" spans="1:3" s="10" customFormat="1" x14ac:dyDescent="0.25">
      <c r="A275" s="10" t="str">
        <f>"0611860705100"</f>
        <v>0611860705100</v>
      </c>
      <c r="B275" s="10" t="str">
        <f>"CN2344"</f>
        <v>CN2344</v>
      </c>
      <c r="C275" s="10" t="s">
        <v>254</v>
      </c>
    </row>
    <row r="276" spans="1:3" s="10" customFormat="1" x14ac:dyDescent="0.25">
      <c r="A276" s="10" t="str">
        <f>"0611893340100"</f>
        <v>0611893340100</v>
      </c>
      <c r="B276" s="10" t="str">
        <f>"CN5468"</f>
        <v>CN5468</v>
      </c>
      <c r="C276" s="10" t="s">
        <v>255</v>
      </c>
    </row>
    <row r="277" spans="1:3" s="10" customFormat="1" x14ac:dyDescent="0.25">
      <c r="A277" s="10" t="str">
        <f>"0611893341100"</f>
        <v>0611893341100</v>
      </c>
      <c r="B277" s="10" t="str">
        <f>"CN5467"</f>
        <v>CN5467</v>
      </c>
      <c r="C277" s="10" t="s">
        <v>256</v>
      </c>
    </row>
    <row r="278" spans="1:3" s="10" customFormat="1" x14ac:dyDescent="0.25">
      <c r="A278" s="10" t="str">
        <f>"0611893342100"</f>
        <v>0611893342100</v>
      </c>
      <c r="B278" s="10" t="str">
        <f>"CN5466"</f>
        <v>CN5466</v>
      </c>
      <c r="C278" s="10" t="s">
        <v>257</v>
      </c>
    </row>
    <row r="279" spans="1:3" s="10" customFormat="1" x14ac:dyDescent="0.25">
      <c r="A279" s="10" t="str">
        <f>"0611893343100"</f>
        <v>0611893343100</v>
      </c>
      <c r="B279" s="10" t="str">
        <f>"CN5465"</f>
        <v>CN5465</v>
      </c>
      <c r="C279" s="10" t="s">
        <v>258</v>
      </c>
    </row>
    <row r="280" spans="1:3" s="10" customFormat="1" x14ac:dyDescent="0.25">
      <c r="A280" s="10" t="str">
        <f>"0611893344100"</f>
        <v>0611893344100</v>
      </c>
      <c r="B280" s="10" t="str">
        <f>"CN5469"</f>
        <v>CN5469</v>
      </c>
      <c r="C280" s="10" t="s">
        <v>259</v>
      </c>
    </row>
    <row r="281" spans="1:3" s="10" customFormat="1" x14ac:dyDescent="0.25">
      <c r="A281" s="10" t="str">
        <f>"0611860706050"</f>
        <v>0611860706050</v>
      </c>
      <c r="B281" s="10" t="str">
        <f>"CR4205"</f>
        <v>CR4205</v>
      </c>
      <c r="C281" s="10" t="s">
        <v>260</v>
      </c>
    </row>
    <row r="282" spans="1:3" s="10" customFormat="1" x14ac:dyDescent="0.25">
      <c r="A282" s="10" t="str">
        <f>"0611860707050"</f>
        <v>0611860707050</v>
      </c>
      <c r="B282" s="10" t="str">
        <f>"CR4207"</f>
        <v>CR4207</v>
      </c>
      <c r="C282" s="10" t="s">
        <v>261</v>
      </c>
    </row>
    <row r="283" spans="1:3" s="10" customFormat="1" x14ac:dyDescent="0.25">
      <c r="A283" s="10" t="str">
        <f>"0611860708050"</f>
        <v>0611860708050</v>
      </c>
      <c r="B283" s="10" t="str">
        <f>"CR4206"</f>
        <v>CR4206</v>
      </c>
      <c r="C283" s="10" t="s">
        <v>262</v>
      </c>
    </row>
    <row r="284" spans="1:3" s="10" customFormat="1" x14ac:dyDescent="0.25">
      <c r="A284" s="10" t="str">
        <f>"0611860711050"</f>
        <v>0611860711050</v>
      </c>
      <c r="B284" s="10" t="str">
        <f>"CR2055"</f>
        <v>CR2055</v>
      </c>
      <c r="C284" s="10" t="s">
        <v>263</v>
      </c>
    </row>
    <row r="285" spans="1:3" s="10" customFormat="1" x14ac:dyDescent="0.25">
      <c r="A285" s="10" t="str">
        <f>"0611860712050"</f>
        <v>0611860712050</v>
      </c>
      <c r="B285" s="10" t="str">
        <f>"CR3989"</f>
        <v>CR3989</v>
      </c>
      <c r="C285" s="10" t="s">
        <v>264</v>
      </c>
    </row>
    <row r="286" spans="1:3" s="10" customFormat="1" x14ac:dyDescent="0.25">
      <c r="A286" s="10" t="str">
        <f>"0611860713050"</f>
        <v>0611860713050</v>
      </c>
      <c r="B286" s="10" t="str">
        <f>"CR2056"</f>
        <v>CR2056</v>
      </c>
      <c r="C286" s="10" t="s">
        <v>265</v>
      </c>
    </row>
    <row r="287" spans="1:3" s="10" customFormat="1" x14ac:dyDescent="0.25">
      <c r="A287" s="10" t="str">
        <f>"0611860714050"</f>
        <v>0611860714050</v>
      </c>
      <c r="B287" s="10" t="str">
        <f>"CR2057"</f>
        <v>CR2057</v>
      </c>
      <c r="C287" s="10" t="s">
        <v>266</v>
      </c>
    </row>
    <row r="288" spans="1:3" s="10" customFormat="1" x14ac:dyDescent="0.25">
      <c r="A288" s="10" t="str">
        <f>"0611860715050"</f>
        <v>0611860715050</v>
      </c>
      <c r="B288" s="10" t="str">
        <f>"CR3990"</f>
        <v>CR3990</v>
      </c>
      <c r="C288" s="10" t="s">
        <v>267</v>
      </c>
    </row>
    <row r="289" spans="1:3" s="10" customFormat="1" x14ac:dyDescent="0.25">
      <c r="A289" s="10" t="str">
        <f>"0611860716050"</f>
        <v>0611860716050</v>
      </c>
      <c r="B289" s="10" t="str">
        <f>"CR5132"</f>
        <v>CR5132</v>
      </c>
      <c r="C289" s="10" t="s">
        <v>268</v>
      </c>
    </row>
    <row r="290" spans="1:3" s="10" customFormat="1" x14ac:dyDescent="0.25">
      <c r="A290" s="10" t="str">
        <f>"0611860717050"</f>
        <v>0611860717050</v>
      </c>
      <c r="B290" s="10" t="str">
        <f>"CR5134"</f>
        <v>CR5134</v>
      </c>
      <c r="C290" s="10" t="s">
        <v>271</v>
      </c>
    </row>
    <row r="291" spans="1:3" s="10" customFormat="1" x14ac:dyDescent="0.25">
      <c r="A291" s="10" t="str">
        <f>"0611860718050"</f>
        <v>0611860718050</v>
      </c>
      <c r="B291" s="10" t="str">
        <f>"CR5135"</f>
        <v>CR5135</v>
      </c>
      <c r="C291" s="10" t="s">
        <v>272</v>
      </c>
    </row>
    <row r="292" spans="1:3" s="10" customFormat="1" x14ac:dyDescent="0.25">
      <c r="A292" s="10" t="str">
        <f>"0611860719050"</f>
        <v>0611860719050</v>
      </c>
      <c r="B292" s="10" t="str">
        <f>"CR5136"</f>
        <v>CR5136</v>
      </c>
      <c r="C292" s="10" t="s">
        <v>274</v>
      </c>
    </row>
    <row r="293" spans="1:3" s="10" customFormat="1" x14ac:dyDescent="0.25">
      <c r="A293" s="10" t="str">
        <f>"0611860720050"</f>
        <v>0611860720050</v>
      </c>
      <c r="B293" s="10" t="str">
        <f>"CR5137"</f>
        <v>CR5137</v>
      </c>
      <c r="C293" s="10" t="s">
        <v>275</v>
      </c>
    </row>
    <row r="294" spans="1:3" s="10" customFormat="1" x14ac:dyDescent="0.25">
      <c r="A294" s="10" t="str">
        <f>"0611884060050"</f>
        <v>0611884060050</v>
      </c>
      <c r="B294" s="10" t="str">
        <f>"CR5417"</f>
        <v>CR5417</v>
      </c>
      <c r="C294" s="10" t="s">
        <v>276</v>
      </c>
    </row>
    <row r="295" spans="1:3" s="10" customFormat="1" x14ac:dyDescent="0.25">
      <c r="A295" s="10" t="str">
        <f>"0611860721050"</f>
        <v>0611860721050</v>
      </c>
      <c r="B295" s="10" t="str">
        <f>"CR5138"</f>
        <v>CR5138</v>
      </c>
      <c r="C295" s="10" t="s">
        <v>277</v>
      </c>
    </row>
    <row r="296" spans="1:3" s="10" customFormat="1" x14ac:dyDescent="0.25">
      <c r="A296" s="10" t="str">
        <f>"0611860722050"</f>
        <v>0611860722050</v>
      </c>
      <c r="B296" s="10" t="str">
        <f>"CR5139"</f>
        <v>CR5139</v>
      </c>
      <c r="C296" s="10" t="s">
        <v>278</v>
      </c>
    </row>
    <row r="297" spans="1:3" s="10" customFormat="1" x14ac:dyDescent="0.25">
      <c r="A297" s="10" t="str">
        <f>"0611860723050"</f>
        <v>0611860723050</v>
      </c>
      <c r="B297" s="10" t="str">
        <f>"CR5140"</f>
        <v>CR5140</v>
      </c>
      <c r="C297" s="10" t="s">
        <v>279</v>
      </c>
    </row>
    <row r="298" spans="1:3" s="10" customFormat="1" x14ac:dyDescent="0.25">
      <c r="A298" s="10" t="str">
        <f>"0611860724050"</f>
        <v>0611860724050</v>
      </c>
      <c r="B298" s="10" t="str">
        <f>"CR5141"</f>
        <v>CR5141</v>
      </c>
      <c r="C298" s="10" t="s">
        <v>280</v>
      </c>
    </row>
    <row r="299" spans="1:3" s="10" customFormat="1" x14ac:dyDescent="0.25">
      <c r="A299" s="10" t="str">
        <f>"0611884061050"</f>
        <v>0611884061050</v>
      </c>
      <c r="B299" s="10" t="str">
        <f>"CR5410"</f>
        <v>CR5410</v>
      </c>
      <c r="C299" s="10" t="s">
        <v>281</v>
      </c>
    </row>
    <row r="300" spans="1:3" s="10" customFormat="1" x14ac:dyDescent="0.25">
      <c r="A300" s="10" t="str">
        <f>"0611893345050"</f>
        <v>0611893345050</v>
      </c>
      <c r="B300" s="10" t="str">
        <f>"CR5339"</f>
        <v>CR5339</v>
      </c>
      <c r="C300" s="10" t="s">
        <v>269</v>
      </c>
    </row>
    <row r="301" spans="1:3" s="10" customFormat="1" x14ac:dyDescent="0.25">
      <c r="A301" s="10" t="str">
        <f>"0611893346050"</f>
        <v>0611893346050</v>
      </c>
      <c r="B301" s="10" t="str">
        <f>"CR5133"</f>
        <v>CR5133</v>
      </c>
      <c r="C301" s="10" t="s">
        <v>270</v>
      </c>
    </row>
    <row r="302" spans="1:3" s="10" customFormat="1" x14ac:dyDescent="0.25">
      <c r="A302" s="10" t="str">
        <f>"0611893347050"</f>
        <v>0611893347050</v>
      </c>
      <c r="B302" s="10" t="str">
        <f>"CR5439"</f>
        <v>CR5439</v>
      </c>
      <c r="C302" s="10" t="s">
        <v>273</v>
      </c>
    </row>
    <row r="303" spans="1:3" s="10" customFormat="1" x14ac:dyDescent="0.25">
      <c r="A303" s="10" t="str">
        <f>"0611860726050"</f>
        <v>0611860726050</v>
      </c>
      <c r="B303" s="10" t="str">
        <f>"CR4904"</f>
        <v>CR4904</v>
      </c>
      <c r="C303" s="10" t="s">
        <v>282</v>
      </c>
    </row>
    <row r="304" spans="1:3" s="10" customFormat="1" x14ac:dyDescent="0.25">
      <c r="A304" s="10" t="str">
        <f>"0611860727050"</f>
        <v>0611860727050</v>
      </c>
      <c r="B304" s="10" t="str">
        <f>"CR3587"</f>
        <v>CR3587</v>
      </c>
      <c r="C304" s="10" t="s">
        <v>283</v>
      </c>
    </row>
    <row r="305" spans="1:3" s="10" customFormat="1" x14ac:dyDescent="0.25">
      <c r="A305" s="10" t="str">
        <f>"0611860728050"</f>
        <v>0611860728050</v>
      </c>
      <c r="B305" s="10" t="str">
        <f>"CR3177"</f>
        <v>CR3177</v>
      </c>
      <c r="C305" s="10" t="s">
        <v>284</v>
      </c>
    </row>
    <row r="306" spans="1:3" s="10" customFormat="1" x14ac:dyDescent="0.25">
      <c r="A306" s="10" t="str">
        <f>"0611860731050"</f>
        <v>0611860731050</v>
      </c>
      <c r="B306" s="10" t="str">
        <f>"CR2058"</f>
        <v>CR2058</v>
      </c>
      <c r="C306" s="10" t="s">
        <v>286</v>
      </c>
    </row>
    <row r="307" spans="1:3" s="10" customFormat="1" x14ac:dyDescent="0.25">
      <c r="A307" s="10" t="str">
        <f>"0611860729050"</f>
        <v>0611860729050</v>
      </c>
      <c r="B307" s="10" t="str">
        <f>"CR3588"</f>
        <v>CR3588</v>
      </c>
      <c r="C307" s="10" t="s">
        <v>285</v>
      </c>
    </row>
    <row r="308" spans="1:3" s="10" customFormat="1" x14ac:dyDescent="0.25">
      <c r="A308" s="10" t="str">
        <f>"0611860730050"</f>
        <v>0611860730050</v>
      </c>
      <c r="B308" s="10" t="str">
        <f>"CR2059"</f>
        <v>CR2059</v>
      </c>
      <c r="C308" s="10" t="s">
        <v>287</v>
      </c>
    </row>
    <row r="309" spans="1:3" s="10" customFormat="1" x14ac:dyDescent="0.25">
      <c r="A309" s="10" t="str">
        <f>"0611860732050"</f>
        <v>0611860732050</v>
      </c>
      <c r="B309" s="10" t="str">
        <f>"CR3696"</f>
        <v>CR3696</v>
      </c>
      <c r="C309" s="10" t="s">
        <v>288</v>
      </c>
    </row>
    <row r="310" spans="1:3" s="10" customFormat="1" x14ac:dyDescent="0.25">
      <c r="A310" s="10" t="str">
        <f>"0611860733050"</f>
        <v>0611860733050</v>
      </c>
      <c r="B310" s="10" t="str">
        <f>"CR3862"</f>
        <v>CR3862</v>
      </c>
      <c r="C310" s="10" t="s">
        <v>289</v>
      </c>
    </row>
    <row r="311" spans="1:3" s="10" customFormat="1" x14ac:dyDescent="0.25">
      <c r="A311" s="10" t="str">
        <f>"0611860734050"</f>
        <v>0611860734050</v>
      </c>
      <c r="B311" s="10" t="str">
        <f>"CR3591"</f>
        <v>CR3591</v>
      </c>
      <c r="C311" s="10" t="s">
        <v>290</v>
      </c>
    </row>
    <row r="312" spans="1:3" s="10" customFormat="1" x14ac:dyDescent="0.25">
      <c r="A312" s="10" t="str">
        <f>"0611860735050"</f>
        <v>0611860735050</v>
      </c>
      <c r="B312" s="10" t="str">
        <f>"CR3717"</f>
        <v>CR3717</v>
      </c>
      <c r="C312" s="10" t="s">
        <v>291</v>
      </c>
    </row>
    <row r="313" spans="1:3" s="10" customFormat="1" x14ac:dyDescent="0.25">
      <c r="A313" s="10" t="str">
        <f>"0611860736050"</f>
        <v>0611860736050</v>
      </c>
      <c r="B313" s="10" t="str">
        <f>"CR2064"</f>
        <v>CR2064</v>
      </c>
      <c r="C313" s="10" t="s">
        <v>292</v>
      </c>
    </row>
    <row r="314" spans="1:3" s="10" customFormat="1" x14ac:dyDescent="0.25">
      <c r="A314" s="10" t="str">
        <f>"0611860737050"</f>
        <v>0611860737050</v>
      </c>
      <c r="B314" s="10" t="str">
        <f>"CR2063"</f>
        <v>CR2063</v>
      </c>
      <c r="C314" s="10" t="s">
        <v>293</v>
      </c>
    </row>
    <row r="315" spans="1:3" s="10" customFormat="1" x14ac:dyDescent="0.25">
      <c r="A315" s="10" t="str">
        <f>"0611884063050"</f>
        <v>0611884063050</v>
      </c>
      <c r="B315" s="10" t="str">
        <f>"CR2613"</f>
        <v>CR2613</v>
      </c>
      <c r="C315" s="10" t="s">
        <v>297</v>
      </c>
    </row>
    <row r="316" spans="1:3" s="10" customFormat="1" x14ac:dyDescent="0.25">
      <c r="A316" s="10" t="str">
        <f>"0611860738050"</f>
        <v>0611860738050</v>
      </c>
      <c r="B316" s="10" t="str">
        <f>"CR2067"</f>
        <v>CR2067</v>
      </c>
      <c r="C316" s="10" t="s">
        <v>294</v>
      </c>
    </row>
    <row r="317" spans="1:3" s="10" customFormat="1" x14ac:dyDescent="0.25">
      <c r="A317" s="10" t="str">
        <f>"0611860739050"</f>
        <v>0611860739050</v>
      </c>
      <c r="B317" s="10" t="str">
        <f>"CR2068"</f>
        <v>CR2068</v>
      </c>
      <c r="C317" s="10" t="s">
        <v>295</v>
      </c>
    </row>
    <row r="318" spans="1:3" s="10" customFormat="1" x14ac:dyDescent="0.25">
      <c r="A318" s="10" t="str">
        <f>"0611884062050"</f>
        <v>0611884062050</v>
      </c>
      <c r="B318" s="10" t="str">
        <f>"CR3066"</f>
        <v>CR3066</v>
      </c>
      <c r="C318" s="10" t="s">
        <v>296</v>
      </c>
    </row>
    <row r="319" spans="1:3" s="10" customFormat="1" x14ac:dyDescent="0.25">
      <c r="A319" s="10" t="str">
        <f>"0611860740050"</f>
        <v>0611860740050</v>
      </c>
      <c r="B319" s="10" t="str">
        <f>"CR3863"</f>
        <v>CR3863</v>
      </c>
      <c r="C319" s="10" t="s">
        <v>298</v>
      </c>
    </row>
    <row r="320" spans="1:3" s="10" customFormat="1" x14ac:dyDescent="0.25">
      <c r="A320" s="10" t="str">
        <f>"0611860741050"</f>
        <v>0611860741050</v>
      </c>
      <c r="B320" s="10" t="str">
        <f>"CR3067"</f>
        <v>CR3067</v>
      </c>
      <c r="C320" s="10" t="s">
        <v>299</v>
      </c>
    </row>
    <row r="321" spans="1:3" s="10" customFormat="1" x14ac:dyDescent="0.25">
      <c r="A321" s="10" t="str">
        <f>"0611884064050"</f>
        <v>0611884064050</v>
      </c>
      <c r="B321" s="10" t="str">
        <f>"CR5312"</f>
        <v>CR5312</v>
      </c>
      <c r="C321" s="10" t="s">
        <v>300</v>
      </c>
    </row>
    <row r="322" spans="1:3" s="10" customFormat="1" x14ac:dyDescent="0.25">
      <c r="A322" s="10" t="str">
        <f>"0611860742050"</f>
        <v>0611860742050</v>
      </c>
      <c r="B322" s="10" t="str">
        <f>"CR4780"</f>
        <v>CR4780</v>
      </c>
      <c r="C322" s="10" t="s">
        <v>301</v>
      </c>
    </row>
    <row r="323" spans="1:3" s="10" customFormat="1" x14ac:dyDescent="0.25">
      <c r="A323" s="10" t="str">
        <f>"0611860743050"</f>
        <v>0611860743050</v>
      </c>
      <c r="B323" s="10" t="str">
        <f>"CR2069"</f>
        <v>CR2069</v>
      </c>
      <c r="C323" s="10" t="s">
        <v>302</v>
      </c>
    </row>
    <row r="324" spans="1:3" s="10" customFormat="1" x14ac:dyDescent="0.25">
      <c r="A324" s="10" t="str">
        <f>"0611884065050"</f>
        <v>0611884065050</v>
      </c>
      <c r="B324" s="10" t="str">
        <f>"CR5313"</f>
        <v>CR5313</v>
      </c>
      <c r="C324" s="10" t="s">
        <v>303</v>
      </c>
    </row>
    <row r="325" spans="1:3" s="10" customFormat="1" x14ac:dyDescent="0.25">
      <c r="A325" s="10" t="str">
        <f>"0611860744050"</f>
        <v>0611860744050</v>
      </c>
      <c r="B325" s="10" t="str">
        <f>"CR3458"</f>
        <v>CR3458</v>
      </c>
      <c r="C325" s="10" t="s">
        <v>304</v>
      </c>
    </row>
    <row r="326" spans="1:3" s="10" customFormat="1" x14ac:dyDescent="0.25">
      <c r="A326" s="10" t="str">
        <f>"0611860745050"</f>
        <v>0611860745050</v>
      </c>
      <c r="B326" s="10" t="str">
        <f>"CR2065"</f>
        <v>CR2065</v>
      </c>
      <c r="C326" s="10" t="s">
        <v>305</v>
      </c>
    </row>
    <row r="327" spans="1:3" s="10" customFormat="1" x14ac:dyDescent="0.25">
      <c r="A327" s="10" t="str">
        <f>"0611860746050"</f>
        <v>0611860746050</v>
      </c>
      <c r="B327" s="10" t="str">
        <f>"CR3697"</f>
        <v>CR3697</v>
      </c>
      <c r="C327" s="10" t="s">
        <v>306</v>
      </c>
    </row>
    <row r="328" spans="1:3" s="10" customFormat="1" x14ac:dyDescent="0.25">
      <c r="A328" s="10" t="str">
        <f>"0611884066050"</f>
        <v>0611884066050</v>
      </c>
      <c r="B328" s="10" t="str">
        <f>"CR5314"</f>
        <v>CR5314</v>
      </c>
      <c r="C328" s="10" t="s">
        <v>307</v>
      </c>
    </row>
    <row r="329" spans="1:3" s="10" customFormat="1" x14ac:dyDescent="0.25">
      <c r="A329" s="10" t="str">
        <f>"0611884067050"</f>
        <v>0611884067050</v>
      </c>
      <c r="B329" s="10" t="str">
        <f>"CR5315"</f>
        <v>CR5315</v>
      </c>
      <c r="C329" s="10" t="s">
        <v>308</v>
      </c>
    </row>
    <row r="330" spans="1:3" s="10" customFormat="1" x14ac:dyDescent="0.25">
      <c r="A330" s="10" t="str">
        <f>"0611860747050"</f>
        <v>0611860747050</v>
      </c>
      <c r="B330" s="10" t="str">
        <f>"CR2070"</f>
        <v>CR2070</v>
      </c>
      <c r="C330" s="10" t="s">
        <v>309</v>
      </c>
    </row>
    <row r="331" spans="1:3" s="10" customFormat="1" x14ac:dyDescent="0.25">
      <c r="A331" s="10" t="str">
        <f>"0611860749050"</f>
        <v>0611860749050</v>
      </c>
      <c r="B331" s="10" t="str">
        <f>"CR3589"</f>
        <v>CR3589</v>
      </c>
      <c r="C331" s="10" t="s">
        <v>310</v>
      </c>
    </row>
    <row r="332" spans="1:3" s="10" customFormat="1" x14ac:dyDescent="0.25">
      <c r="A332" s="10" t="str">
        <f>"0611860750050"</f>
        <v>0611860750050</v>
      </c>
      <c r="B332" s="10" t="str">
        <f>"CR2071"</f>
        <v>CR2071</v>
      </c>
      <c r="C332" s="10" t="s">
        <v>311</v>
      </c>
    </row>
    <row r="333" spans="1:3" s="10" customFormat="1" x14ac:dyDescent="0.25">
      <c r="A333" s="10" t="str">
        <f>"0611860751050"</f>
        <v>0611860751050</v>
      </c>
      <c r="B333" s="10" t="str">
        <f>"CR3718"</f>
        <v>CR3718</v>
      </c>
      <c r="C333" s="10" t="s">
        <v>312</v>
      </c>
    </row>
    <row r="334" spans="1:3" s="10" customFormat="1" x14ac:dyDescent="0.25">
      <c r="A334" s="10" t="str">
        <f>"0611860752050"</f>
        <v>0611860752050</v>
      </c>
      <c r="B334" s="10" t="str">
        <f>"CR2072"</f>
        <v>CR2072</v>
      </c>
      <c r="C334" s="10" t="s">
        <v>313</v>
      </c>
    </row>
    <row r="335" spans="1:3" s="10" customFormat="1" x14ac:dyDescent="0.25">
      <c r="A335" s="10" t="str">
        <f>"0611860753050"</f>
        <v>0611860753050</v>
      </c>
      <c r="B335" s="10" t="str">
        <f>"CR3993"</f>
        <v>CR3993</v>
      </c>
      <c r="C335" s="10" t="s">
        <v>314</v>
      </c>
    </row>
    <row r="336" spans="1:3" s="10" customFormat="1" x14ac:dyDescent="0.25">
      <c r="A336" s="10" t="str">
        <f>"0611860754050"</f>
        <v>0611860754050</v>
      </c>
      <c r="B336" s="10" t="str">
        <f>"CR5142"</f>
        <v>CR5142</v>
      </c>
      <c r="C336" s="10" t="s">
        <v>315</v>
      </c>
    </row>
    <row r="337" spans="1:3" s="10" customFormat="1" x14ac:dyDescent="0.25">
      <c r="A337" s="10" t="str">
        <f>"0611860755050"</f>
        <v>0611860755050</v>
      </c>
      <c r="B337" s="10" t="str">
        <f>"CR3994"</f>
        <v>CR3994</v>
      </c>
      <c r="C337" s="10" t="s">
        <v>316</v>
      </c>
    </row>
    <row r="338" spans="1:3" s="10" customFormat="1" x14ac:dyDescent="0.25">
      <c r="A338" s="10" t="str">
        <f>"0611860756050"</f>
        <v>0611860756050</v>
      </c>
      <c r="B338" s="10" t="str">
        <f>"CR3070"</f>
        <v>CR3070</v>
      </c>
      <c r="C338" s="10" t="s">
        <v>317</v>
      </c>
    </row>
    <row r="339" spans="1:3" s="10" customFormat="1" x14ac:dyDescent="0.25">
      <c r="A339" s="10" t="str">
        <f>"0611860757050"</f>
        <v>0611860757050</v>
      </c>
      <c r="B339" s="10" t="str">
        <f>"CR5143"</f>
        <v>CR5143</v>
      </c>
      <c r="C339" s="10" t="s">
        <v>318</v>
      </c>
    </row>
    <row r="340" spans="1:3" s="10" customFormat="1" x14ac:dyDescent="0.25">
      <c r="A340" s="10" t="str">
        <f>"0611860758050"</f>
        <v>0611860758050</v>
      </c>
      <c r="B340" s="10" t="str">
        <f>"CR2881"</f>
        <v>CR2881</v>
      </c>
      <c r="C340" s="10" t="s">
        <v>319</v>
      </c>
    </row>
    <row r="341" spans="1:3" s="10" customFormat="1" x14ac:dyDescent="0.25">
      <c r="A341" s="10" t="str">
        <f>"0611860759050"</f>
        <v>0611860759050</v>
      </c>
      <c r="B341" s="10" t="str">
        <f>"CR3864"</f>
        <v>CR3864</v>
      </c>
      <c r="C341" s="10" t="s">
        <v>320</v>
      </c>
    </row>
    <row r="342" spans="1:3" s="10" customFormat="1" x14ac:dyDescent="0.25">
      <c r="A342" s="10" t="str">
        <f>"0611860760050"</f>
        <v>0611860760050</v>
      </c>
      <c r="B342" s="10" t="str">
        <f>"CR4781"</f>
        <v>CR4781</v>
      </c>
      <c r="C342" s="10" t="s">
        <v>321</v>
      </c>
    </row>
    <row r="343" spans="1:3" s="10" customFormat="1" x14ac:dyDescent="0.25">
      <c r="A343" s="10" t="str">
        <f>"0611860761050"</f>
        <v>0611860761050</v>
      </c>
      <c r="B343" s="10" t="str">
        <f>"CR2883"</f>
        <v>CR2883</v>
      </c>
      <c r="C343" s="10" t="s">
        <v>322</v>
      </c>
    </row>
    <row r="344" spans="1:3" s="10" customFormat="1" x14ac:dyDescent="0.25">
      <c r="A344" s="10" t="str">
        <f>"0611860762050"</f>
        <v>0611860762050</v>
      </c>
      <c r="B344" s="10" t="str">
        <f>"CR3069"</f>
        <v>CR3069</v>
      </c>
      <c r="C344" s="10" t="s">
        <v>323</v>
      </c>
    </row>
    <row r="345" spans="1:3" s="10" customFormat="1" x14ac:dyDescent="0.25">
      <c r="A345" s="10" t="str">
        <f>"0611860763050"</f>
        <v>0611860763050</v>
      </c>
      <c r="B345" s="10" t="str">
        <f>"CR2884"</f>
        <v>CR2884</v>
      </c>
      <c r="C345" s="10" t="s">
        <v>324</v>
      </c>
    </row>
    <row r="346" spans="1:3" s="10" customFormat="1" x14ac:dyDescent="0.25">
      <c r="A346" s="10" t="str">
        <f>"0611860764050"</f>
        <v>0611860764050</v>
      </c>
      <c r="B346" s="10" t="str">
        <f>"CR3949"</f>
        <v>CR3949</v>
      </c>
      <c r="C346" s="10" t="s">
        <v>325</v>
      </c>
    </row>
    <row r="347" spans="1:3" s="10" customFormat="1" x14ac:dyDescent="0.25">
      <c r="A347" s="10" t="str">
        <f>"0611860765050"</f>
        <v>0611860765050</v>
      </c>
      <c r="B347" s="10" t="str">
        <f>"CR3071"</f>
        <v>CR3071</v>
      </c>
      <c r="C347" s="10" t="s">
        <v>326</v>
      </c>
    </row>
    <row r="348" spans="1:3" s="10" customFormat="1" x14ac:dyDescent="0.25">
      <c r="A348" s="10" t="str">
        <f>"0611860766050"</f>
        <v>0611860766050</v>
      </c>
      <c r="B348" s="10" t="str">
        <f>"CR2075"</f>
        <v>CR2075</v>
      </c>
      <c r="C348" s="10" t="s">
        <v>327</v>
      </c>
    </row>
    <row r="349" spans="1:3" s="10" customFormat="1" x14ac:dyDescent="0.25">
      <c r="A349" s="10" t="str">
        <f>"0611860767050"</f>
        <v>0611860767050</v>
      </c>
      <c r="B349" s="10" t="str">
        <f>"CR2076"</f>
        <v>CR2076</v>
      </c>
      <c r="C349" s="10" t="s">
        <v>328</v>
      </c>
    </row>
    <row r="350" spans="1:3" s="10" customFormat="1" x14ac:dyDescent="0.25">
      <c r="A350" s="10" t="str">
        <f>"0611860768050"</f>
        <v>0611860768050</v>
      </c>
      <c r="B350" s="10" t="str">
        <f>"CR2077"</f>
        <v>CR2077</v>
      </c>
      <c r="C350" s="10" t="s">
        <v>329</v>
      </c>
    </row>
    <row r="351" spans="1:3" s="10" customFormat="1" x14ac:dyDescent="0.25">
      <c r="A351" s="10" t="str">
        <f>"0611860769050"</f>
        <v>0611860769050</v>
      </c>
      <c r="B351" s="10" t="str">
        <f>"CR2614"</f>
        <v>CR2614</v>
      </c>
      <c r="C351" s="10" t="s">
        <v>330</v>
      </c>
    </row>
    <row r="352" spans="1:3" s="10" customFormat="1" x14ac:dyDescent="0.25">
      <c r="A352" s="10" t="str">
        <f>"0611860770050"</f>
        <v>0611860770050</v>
      </c>
      <c r="B352" s="10" t="str">
        <f>"CR2079"</f>
        <v>CR2079</v>
      </c>
      <c r="C352" s="10" t="s">
        <v>331</v>
      </c>
    </row>
    <row r="353" spans="1:3" s="10" customFormat="1" x14ac:dyDescent="0.25">
      <c r="A353" s="10" t="str">
        <f>"0611860771050"</f>
        <v>0611860771050</v>
      </c>
      <c r="B353" s="10" t="str">
        <f>"CR2080"</f>
        <v>CR2080</v>
      </c>
      <c r="C353" s="10" t="s">
        <v>332</v>
      </c>
    </row>
    <row r="354" spans="1:3" s="10" customFormat="1" x14ac:dyDescent="0.25">
      <c r="A354" s="10" t="str">
        <f>"0611860772050"</f>
        <v>0611860772050</v>
      </c>
      <c r="B354" s="10" t="str">
        <f>"CR3970"</f>
        <v>CR3970</v>
      </c>
      <c r="C354" s="10" t="s">
        <v>333</v>
      </c>
    </row>
    <row r="355" spans="1:3" s="10" customFormat="1" x14ac:dyDescent="0.25">
      <c r="A355" s="10" t="str">
        <f>"0611860773050"</f>
        <v>0611860773050</v>
      </c>
      <c r="B355" s="10" t="str">
        <f>"CR2081"</f>
        <v>CR2081</v>
      </c>
      <c r="C355" s="10" t="s">
        <v>334</v>
      </c>
    </row>
    <row r="356" spans="1:3" s="10" customFormat="1" x14ac:dyDescent="0.25">
      <c r="A356" s="10" t="str">
        <f>"0611860774050"</f>
        <v>0611860774050</v>
      </c>
      <c r="B356" s="10" t="str">
        <f>"CR2082"</f>
        <v>CR2082</v>
      </c>
      <c r="C356" s="10" t="s">
        <v>335</v>
      </c>
    </row>
    <row r="357" spans="1:3" s="10" customFormat="1" x14ac:dyDescent="0.25">
      <c r="A357" s="10" t="str">
        <f>"0611860775050"</f>
        <v>0611860775050</v>
      </c>
      <c r="B357" s="10" t="str">
        <f>"CR2083"</f>
        <v>CR2083</v>
      </c>
      <c r="C357" s="10" t="s">
        <v>336</v>
      </c>
    </row>
    <row r="358" spans="1:3" s="10" customFormat="1" x14ac:dyDescent="0.25">
      <c r="A358" s="10" t="str">
        <f>"0611860776050"</f>
        <v>0611860776050</v>
      </c>
      <c r="B358" s="10" t="str">
        <f>"CR2085"</f>
        <v>CR2085</v>
      </c>
      <c r="C358" s="10" t="s">
        <v>337</v>
      </c>
    </row>
    <row r="359" spans="1:3" s="10" customFormat="1" x14ac:dyDescent="0.25">
      <c r="A359" s="10" t="str">
        <f>"0611860777050"</f>
        <v>0611860777050</v>
      </c>
      <c r="B359" s="10" t="str">
        <f>"CR2086"</f>
        <v>CR2086</v>
      </c>
      <c r="C359" s="10" t="s">
        <v>338</v>
      </c>
    </row>
    <row r="360" spans="1:3" s="10" customFormat="1" x14ac:dyDescent="0.25">
      <c r="A360" s="10" t="str">
        <f>"0611884068050"</f>
        <v>0611884068050</v>
      </c>
      <c r="B360" s="10" t="str">
        <f>"CR5317"</f>
        <v>CR5317</v>
      </c>
      <c r="C360" s="10" t="s">
        <v>339</v>
      </c>
    </row>
    <row r="361" spans="1:3" s="10" customFormat="1" x14ac:dyDescent="0.25">
      <c r="A361" s="10" t="str">
        <f>"0611860778050"</f>
        <v>0611860778050</v>
      </c>
      <c r="B361" s="10" t="str">
        <f>"CR3853"</f>
        <v>CR3853</v>
      </c>
      <c r="C361" s="10" t="s">
        <v>340</v>
      </c>
    </row>
    <row r="362" spans="1:3" s="10" customFormat="1" x14ac:dyDescent="0.25">
      <c r="A362" s="10" t="str">
        <f>"0611860779050"</f>
        <v>0611860779050</v>
      </c>
      <c r="B362" s="10" t="str">
        <f>"CR4782"</f>
        <v>CR4782</v>
      </c>
      <c r="C362" s="10" t="s">
        <v>341</v>
      </c>
    </row>
    <row r="363" spans="1:3" s="10" customFormat="1" x14ac:dyDescent="0.25">
      <c r="A363" s="10" t="str">
        <f>"0611884069050"</f>
        <v>0611884069050</v>
      </c>
      <c r="B363" s="10" t="str">
        <f>"CR5318"</f>
        <v>CR5318</v>
      </c>
      <c r="C363" s="10" t="s">
        <v>342</v>
      </c>
    </row>
    <row r="364" spans="1:3" s="10" customFormat="1" x14ac:dyDescent="0.25">
      <c r="A364" s="10" t="str">
        <f>"0611860780050"</f>
        <v>0611860780050</v>
      </c>
      <c r="B364" s="10" t="str">
        <f>"CR5144"</f>
        <v>CR5144</v>
      </c>
      <c r="C364" s="10" t="s">
        <v>343</v>
      </c>
    </row>
    <row r="365" spans="1:3" s="10" customFormat="1" x14ac:dyDescent="0.25">
      <c r="A365" s="10" t="str">
        <f>"0611884070050"</f>
        <v>0611884070050</v>
      </c>
      <c r="B365" s="10" t="str">
        <f>"CR5319"</f>
        <v>CR5319</v>
      </c>
      <c r="C365" s="10" t="s">
        <v>344</v>
      </c>
    </row>
    <row r="366" spans="1:3" s="10" customFormat="1" x14ac:dyDescent="0.25">
      <c r="A366" s="10" t="str">
        <f>"0611860781050"</f>
        <v>0611860781050</v>
      </c>
      <c r="B366" s="10" t="str">
        <f>"CR3719"</f>
        <v>CR3719</v>
      </c>
      <c r="C366" s="10" t="s">
        <v>345</v>
      </c>
    </row>
    <row r="367" spans="1:3" s="10" customFormat="1" x14ac:dyDescent="0.25">
      <c r="A367" s="10" t="str">
        <f>"0611860782050"</f>
        <v>0611860782050</v>
      </c>
      <c r="B367" s="10" t="str">
        <f>"CR4783"</f>
        <v>CR4783</v>
      </c>
      <c r="C367" s="10" t="s">
        <v>346</v>
      </c>
    </row>
    <row r="368" spans="1:3" s="10" customFormat="1" x14ac:dyDescent="0.25">
      <c r="A368" s="10" t="str">
        <f>"0611860783050"</f>
        <v>0611860783050</v>
      </c>
      <c r="B368" s="10" t="str">
        <f>"CR5145"</f>
        <v>CR5145</v>
      </c>
      <c r="C368" s="10" t="s">
        <v>347</v>
      </c>
    </row>
    <row r="369" spans="1:3" s="10" customFormat="1" x14ac:dyDescent="0.25">
      <c r="A369" s="10" t="str">
        <f>"0611860784050"</f>
        <v>0611860784050</v>
      </c>
      <c r="B369" s="10" t="str">
        <f>"CR3713"</f>
        <v>CR3713</v>
      </c>
      <c r="C369" s="10" t="s">
        <v>348</v>
      </c>
    </row>
    <row r="370" spans="1:3" s="10" customFormat="1" x14ac:dyDescent="0.25">
      <c r="A370" s="10" t="str">
        <f>"0611860785050"</f>
        <v>0611860785050</v>
      </c>
      <c r="B370" s="10" t="str">
        <f>"CR3714"</f>
        <v>CR3714</v>
      </c>
      <c r="C370" s="10" t="s">
        <v>349</v>
      </c>
    </row>
    <row r="371" spans="1:3" s="10" customFormat="1" x14ac:dyDescent="0.25">
      <c r="A371" s="10" t="str">
        <f>"0611906538050"</f>
        <v>0611906538050</v>
      </c>
      <c r="B371" s="10" t="str">
        <f>"CR5461"</f>
        <v>CR5461</v>
      </c>
      <c r="C371" s="10" t="s">
        <v>350</v>
      </c>
    </row>
    <row r="372" spans="1:3" s="10" customFormat="1" x14ac:dyDescent="0.25">
      <c r="A372" s="10" t="str">
        <f>"0611860786050"</f>
        <v>0611860786050</v>
      </c>
      <c r="B372" s="10" t="str">
        <f>"CR4006"</f>
        <v>CR4006</v>
      </c>
      <c r="C372" s="10" t="s">
        <v>351</v>
      </c>
    </row>
    <row r="373" spans="1:3" s="10" customFormat="1" x14ac:dyDescent="0.25">
      <c r="A373" s="10" t="str">
        <f>"0611860787050"</f>
        <v>0611860787050</v>
      </c>
      <c r="B373" s="10" t="str">
        <f>"CR4007"</f>
        <v>CR4007</v>
      </c>
      <c r="C373" s="10" t="s">
        <v>352</v>
      </c>
    </row>
    <row r="374" spans="1:3" s="10" customFormat="1" x14ac:dyDescent="0.25">
      <c r="A374" s="10" t="str">
        <f>"0611860799050"</f>
        <v>0611860799050</v>
      </c>
      <c r="B374" s="10" t="str">
        <f>"CR4010"</f>
        <v>CR4010</v>
      </c>
      <c r="C374" s="10" t="s">
        <v>353</v>
      </c>
    </row>
    <row r="375" spans="1:3" s="10" customFormat="1" x14ac:dyDescent="0.25">
      <c r="A375" s="10" t="str">
        <f>"0611860800050"</f>
        <v>0611860800050</v>
      </c>
      <c r="B375" s="10" t="str">
        <f>"CR4785"</f>
        <v>CR4785</v>
      </c>
      <c r="C375" s="10" t="s">
        <v>354</v>
      </c>
    </row>
    <row r="376" spans="1:3" s="10" customFormat="1" x14ac:dyDescent="0.25">
      <c r="A376" s="10" t="str">
        <f>"0611860801050"</f>
        <v>0611860801050</v>
      </c>
      <c r="B376" s="10" t="str">
        <f>"CR4922"</f>
        <v>CR4922</v>
      </c>
      <c r="C376" s="10" t="s">
        <v>355</v>
      </c>
    </row>
    <row r="377" spans="1:3" s="10" customFormat="1" x14ac:dyDescent="0.25">
      <c r="A377" s="10" t="str">
        <f>"0611860802050"</f>
        <v>0611860802050</v>
      </c>
      <c r="B377" s="10" t="str">
        <f>"CR5146"</f>
        <v>CR5146</v>
      </c>
      <c r="C377" s="10" t="s">
        <v>356</v>
      </c>
    </row>
    <row r="378" spans="1:3" s="10" customFormat="1" x14ac:dyDescent="0.25">
      <c r="A378" s="10" t="str">
        <f>"0611860803050"</f>
        <v>0611860803050</v>
      </c>
      <c r="B378" s="10" t="str">
        <f>"CR5147"</f>
        <v>CR5147</v>
      </c>
      <c r="C378" s="10" t="s">
        <v>357</v>
      </c>
    </row>
    <row r="379" spans="1:3" s="10" customFormat="1" x14ac:dyDescent="0.25">
      <c r="A379" s="10" t="str">
        <f>"0611860804050"</f>
        <v>0611860804050</v>
      </c>
      <c r="B379" s="10" t="str">
        <f>"CR5148"</f>
        <v>CR5148</v>
      </c>
      <c r="C379" s="10" t="s">
        <v>358</v>
      </c>
    </row>
    <row r="380" spans="1:3" s="10" customFormat="1" x14ac:dyDescent="0.25">
      <c r="A380" s="10" t="str">
        <f>"0611860805050"</f>
        <v>0611860805050</v>
      </c>
      <c r="B380" s="10" t="str">
        <f>"CR4923"</f>
        <v>CR4923</v>
      </c>
      <c r="C380" s="10" t="s">
        <v>359</v>
      </c>
    </row>
    <row r="381" spans="1:3" s="10" customFormat="1" x14ac:dyDescent="0.25">
      <c r="A381" s="10" t="str">
        <f>"0611860807050"</f>
        <v>0611860807050</v>
      </c>
      <c r="B381" s="10" t="str">
        <f>"CR4012"</f>
        <v>CR4012</v>
      </c>
      <c r="C381" s="10" t="s">
        <v>360</v>
      </c>
    </row>
    <row r="382" spans="1:3" s="10" customFormat="1" x14ac:dyDescent="0.25">
      <c r="A382" s="10" t="str">
        <f>"0611860808050"</f>
        <v>0611860808050</v>
      </c>
      <c r="B382" s="10" t="str">
        <f>"CR4013"</f>
        <v>CR4013</v>
      </c>
      <c r="C382" s="10" t="s">
        <v>361</v>
      </c>
    </row>
    <row r="383" spans="1:3" s="10" customFormat="1" x14ac:dyDescent="0.25">
      <c r="A383" s="10" t="str">
        <f>"0611860810050"</f>
        <v>0611860810050</v>
      </c>
      <c r="B383" s="10" t="str">
        <f>"CR4014"</f>
        <v>CR4014</v>
      </c>
      <c r="C383" s="10" t="s">
        <v>362</v>
      </c>
    </row>
    <row r="384" spans="1:3" s="10" customFormat="1" x14ac:dyDescent="0.25">
      <c r="A384" s="10" t="str">
        <f>"0611860811050"</f>
        <v>0611860811050</v>
      </c>
      <c r="B384" s="10" t="str">
        <f>"CR4015"</f>
        <v>CR4015</v>
      </c>
      <c r="C384" s="10" t="s">
        <v>363</v>
      </c>
    </row>
    <row r="385" spans="1:3" s="10" customFormat="1" x14ac:dyDescent="0.25">
      <c r="A385" s="10" t="str">
        <f>"0611860812050"</f>
        <v>0611860812050</v>
      </c>
      <c r="B385" s="10" t="str">
        <f>"CR4016"</f>
        <v>CR4016</v>
      </c>
      <c r="C385" s="10" t="s">
        <v>364</v>
      </c>
    </row>
    <row r="386" spans="1:3" s="10" customFormat="1" x14ac:dyDescent="0.25">
      <c r="A386" s="10" t="str">
        <f>"0611860813050"</f>
        <v>0611860813050</v>
      </c>
      <c r="B386" s="10" t="str">
        <f>"CR4017"</f>
        <v>CR4017</v>
      </c>
      <c r="C386" s="10" t="s">
        <v>365</v>
      </c>
    </row>
    <row r="387" spans="1:3" s="10" customFormat="1" x14ac:dyDescent="0.25">
      <c r="A387" s="10" t="str">
        <f>"0611860814050"</f>
        <v>0611860814050</v>
      </c>
      <c r="B387" s="10" t="str">
        <f>"CR5149"</f>
        <v>CR5149</v>
      </c>
      <c r="C387" s="10" t="s">
        <v>366</v>
      </c>
    </row>
    <row r="388" spans="1:3" s="10" customFormat="1" x14ac:dyDescent="0.25">
      <c r="A388" s="10" t="str">
        <f>"0611860815050"</f>
        <v>0611860815050</v>
      </c>
      <c r="B388" s="10" t="str">
        <f>"CR4924"</f>
        <v>CR4924</v>
      </c>
      <c r="C388" s="10" t="s">
        <v>367</v>
      </c>
    </row>
    <row r="389" spans="1:3" s="10" customFormat="1" x14ac:dyDescent="0.25">
      <c r="A389" s="10" t="str">
        <f>"0611860816050"</f>
        <v>0611860816050</v>
      </c>
      <c r="B389" s="10" t="str">
        <f>"CR4018"</f>
        <v>CR4018</v>
      </c>
      <c r="C389" s="10" t="s">
        <v>368</v>
      </c>
    </row>
    <row r="390" spans="1:3" s="10" customFormat="1" x14ac:dyDescent="0.25">
      <c r="A390" s="10" t="str">
        <f>"0611860818050"</f>
        <v>0611860818050</v>
      </c>
      <c r="B390" s="10" t="str">
        <f>"CR4020"</f>
        <v>CR4020</v>
      </c>
      <c r="C390" s="10" t="s">
        <v>369</v>
      </c>
    </row>
    <row r="391" spans="1:3" s="10" customFormat="1" x14ac:dyDescent="0.25">
      <c r="A391" s="10" t="str">
        <f>"0611860820050"</f>
        <v>0611860820050</v>
      </c>
      <c r="B391" s="10" t="str">
        <f>"CR4787"</f>
        <v>CR4787</v>
      </c>
      <c r="C391" s="10" t="s">
        <v>370</v>
      </c>
    </row>
    <row r="392" spans="1:3" s="10" customFormat="1" x14ac:dyDescent="0.25">
      <c r="A392" s="10" t="str">
        <f>"0611860823050"</f>
        <v>0611860823050</v>
      </c>
      <c r="B392" s="10" t="str">
        <f>"CR5150"</f>
        <v>CR5150</v>
      </c>
      <c r="C392" s="10" t="s">
        <v>371</v>
      </c>
    </row>
    <row r="393" spans="1:3" s="10" customFormat="1" x14ac:dyDescent="0.25">
      <c r="A393" s="10" t="str">
        <f>"0611860824050"</f>
        <v>0611860824050</v>
      </c>
      <c r="B393" s="10" t="str">
        <f>"CR5151"</f>
        <v>CR5151</v>
      </c>
      <c r="C393" s="10" t="s">
        <v>372</v>
      </c>
    </row>
    <row r="394" spans="1:3" s="10" customFormat="1" x14ac:dyDescent="0.25">
      <c r="A394" s="10" t="str">
        <f>"0611860825050"</f>
        <v>0611860825050</v>
      </c>
      <c r="B394" s="10" t="str">
        <f>"CR5152"</f>
        <v>CR5152</v>
      </c>
      <c r="C394" s="10" t="s">
        <v>373</v>
      </c>
    </row>
    <row r="395" spans="1:3" s="10" customFormat="1" x14ac:dyDescent="0.25">
      <c r="A395" s="10" t="str">
        <f>"0611860861050"</f>
        <v>0611860861050</v>
      </c>
      <c r="B395" s="10" t="str">
        <f>"CR4925"</f>
        <v>CR4925</v>
      </c>
      <c r="C395" s="10" t="s">
        <v>374</v>
      </c>
    </row>
    <row r="396" spans="1:3" s="10" customFormat="1" x14ac:dyDescent="0.25">
      <c r="A396" s="10" t="str">
        <f>"0611860862050"</f>
        <v>0611860862050</v>
      </c>
      <c r="B396" s="10" t="str">
        <f>"CR3487"</f>
        <v>CR3487</v>
      </c>
      <c r="C396" s="10" t="s">
        <v>375</v>
      </c>
    </row>
    <row r="397" spans="1:3" s="10" customFormat="1" x14ac:dyDescent="0.25">
      <c r="A397" s="10" t="str">
        <f>"0611860863050"</f>
        <v>0611860863050</v>
      </c>
      <c r="B397" s="10" t="str">
        <f>"CR3488"</f>
        <v>CR3488</v>
      </c>
      <c r="C397" s="10" t="s">
        <v>376</v>
      </c>
    </row>
    <row r="398" spans="1:3" s="10" customFormat="1" x14ac:dyDescent="0.25">
      <c r="A398" s="10" t="str">
        <f>"0611860864050"</f>
        <v>0611860864050</v>
      </c>
      <c r="B398" s="10" t="str">
        <f>"CR4788"</f>
        <v>CR4788</v>
      </c>
      <c r="C398" s="10" t="s">
        <v>377</v>
      </c>
    </row>
    <row r="399" spans="1:3" s="10" customFormat="1" x14ac:dyDescent="0.25">
      <c r="A399" s="10" t="str">
        <f>"0611860865050"</f>
        <v>0611860865050</v>
      </c>
      <c r="B399" s="10" t="str">
        <f>"CR3489"</f>
        <v>CR3489</v>
      </c>
      <c r="C399" s="10" t="s">
        <v>378</v>
      </c>
    </row>
    <row r="400" spans="1:3" s="10" customFormat="1" x14ac:dyDescent="0.25">
      <c r="A400" s="10" t="str">
        <f>"0611860866050"</f>
        <v>0611860866050</v>
      </c>
      <c r="B400" s="10" t="str">
        <f>"CR3854"</f>
        <v>CR3854</v>
      </c>
      <c r="C400" s="10" t="s">
        <v>379</v>
      </c>
    </row>
    <row r="401" spans="1:3" s="10" customFormat="1" x14ac:dyDescent="0.25">
      <c r="A401" s="10" t="str">
        <f>"0611860867050"</f>
        <v>0611860867050</v>
      </c>
      <c r="B401" s="10" t="str">
        <f>"CR4091"</f>
        <v>CR4091</v>
      </c>
      <c r="C401" s="10" t="s">
        <v>380</v>
      </c>
    </row>
    <row r="402" spans="1:3" s="10" customFormat="1" x14ac:dyDescent="0.25">
      <c r="A402" s="10" t="str">
        <f>"0611860868050"</f>
        <v>0611860868050</v>
      </c>
      <c r="B402" s="10" t="str">
        <f>"CR4926"</f>
        <v>CR4926</v>
      </c>
      <c r="C402" s="10" t="s">
        <v>381</v>
      </c>
    </row>
    <row r="403" spans="1:3" s="10" customFormat="1" x14ac:dyDescent="0.25">
      <c r="A403" s="10" t="str">
        <f>"0611860869050"</f>
        <v>0611860869050</v>
      </c>
      <c r="B403" s="10" t="str">
        <f>"CR3490"</f>
        <v>CR3490</v>
      </c>
      <c r="C403" s="10" t="s">
        <v>382</v>
      </c>
    </row>
    <row r="404" spans="1:3" s="10" customFormat="1" x14ac:dyDescent="0.25">
      <c r="A404" s="10" t="str">
        <f>"0611860870050"</f>
        <v>0611860870050</v>
      </c>
      <c r="B404" s="10" t="str">
        <f>"CR2588"</f>
        <v>CR2588</v>
      </c>
      <c r="C404" s="10" t="s">
        <v>387</v>
      </c>
    </row>
    <row r="405" spans="1:3" s="10" customFormat="1" x14ac:dyDescent="0.25">
      <c r="A405" s="10" t="str">
        <f>"0611860872050"</f>
        <v>0611860872050</v>
      </c>
      <c r="B405" s="10" t="str">
        <f>"CR4033"</f>
        <v>CR4033</v>
      </c>
      <c r="C405" s="10" t="s">
        <v>383</v>
      </c>
    </row>
    <row r="406" spans="1:3" s="10" customFormat="1" x14ac:dyDescent="0.25">
      <c r="A406" s="10" t="str">
        <f>"0611860873050"</f>
        <v>0611860873050</v>
      </c>
      <c r="B406" s="10" t="str">
        <f>"CR4927"</f>
        <v>CR4927</v>
      </c>
      <c r="C406" s="10" t="s">
        <v>384</v>
      </c>
    </row>
    <row r="407" spans="1:3" s="10" customFormat="1" x14ac:dyDescent="0.25">
      <c r="A407" s="10" t="str">
        <f>"0611860874050"</f>
        <v>0611860874050</v>
      </c>
      <c r="B407" s="10" t="str">
        <f>"CR4789"</f>
        <v>CR4789</v>
      </c>
      <c r="C407" s="10" t="s">
        <v>385</v>
      </c>
    </row>
    <row r="408" spans="1:3" s="10" customFormat="1" x14ac:dyDescent="0.25">
      <c r="A408" s="10" t="str">
        <f>"0611860875050"</f>
        <v>0611860875050</v>
      </c>
      <c r="B408" s="10" t="str">
        <f>"CR4928"</f>
        <v>CR4928</v>
      </c>
      <c r="C408" s="10" t="s">
        <v>386</v>
      </c>
    </row>
    <row r="409" spans="1:3" s="10" customFormat="1" x14ac:dyDescent="0.25">
      <c r="A409" s="10" t="str">
        <f>"0611860877050"</f>
        <v>0611860877050</v>
      </c>
      <c r="B409" s="10" t="str">
        <f>"CR4790"</f>
        <v>CR4790</v>
      </c>
      <c r="C409" s="10" t="s">
        <v>388</v>
      </c>
    </row>
    <row r="410" spans="1:3" s="10" customFormat="1" x14ac:dyDescent="0.25">
      <c r="A410" s="10" t="str">
        <f>"0611860878050"</f>
        <v>0611860878050</v>
      </c>
      <c r="B410" s="10" t="str">
        <f>"CR4929"</f>
        <v>CR4929</v>
      </c>
      <c r="C410" s="10" t="s">
        <v>389</v>
      </c>
    </row>
    <row r="411" spans="1:3" s="10" customFormat="1" x14ac:dyDescent="0.25">
      <c r="A411" s="10" t="str">
        <f>"0611860879050"</f>
        <v>0611860879050</v>
      </c>
      <c r="B411" s="10" t="str">
        <f>"CR3042"</f>
        <v>CR3042</v>
      </c>
      <c r="C411" s="10" t="s">
        <v>390</v>
      </c>
    </row>
    <row r="412" spans="1:3" s="10" customFormat="1" x14ac:dyDescent="0.25">
      <c r="A412" s="10" t="str">
        <f>"0611860880050"</f>
        <v>0611860880050</v>
      </c>
      <c r="B412" s="10" t="str">
        <f>"CR4930"</f>
        <v>CR4930</v>
      </c>
      <c r="C412" s="10" t="s">
        <v>391</v>
      </c>
    </row>
    <row r="413" spans="1:3" s="10" customFormat="1" x14ac:dyDescent="0.25">
      <c r="A413" s="10" t="str">
        <f>"0611860881050"</f>
        <v>0611860881050</v>
      </c>
      <c r="B413" s="10" t="str">
        <f>"CR4034"</f>
        <v>CR4034</v>
      </c>
      <c r="C413" s="10" t="s">
        <v>392</v>
      </c>
    </row>
    <row r="414" spans="1:3" s="10" customFormat="1" x14ac:dyDescent="0.25">
      <c r="A414" s="10" t="str">
        <f>"0611860882050"</f>
        <v>0611860882050</v>
      </c>
      <c r="B414" s="10" t="str">
        <f>"CR4791"</f>
        <v>CR4791</v>
      </c>
      <c r="C414" s="10" t="s">
        <v>393</v>
      </c>
    </row>
    <row r="415" spans="1:3" s="10" customFormat="1" x14ac:dyDescent="0.25">
      <c r="A415" s="10" t="str">
        <f>"0611860883050"</f>
        <v>0611860883050</v>
      </c>
      <c r="B415" s="10" t="str">
        <f>"CR3491"</f>
        <v>CR3491</v>
      </c>
      <c r="C415" s="10" t="s">
        <v>394</v>
      </c>
    </row>
    <row r="416" spans="1:3" s="10" customFormat="1" x14ac:dyDescent="0.25">
      <c r="A416" s="10" t="str">
        <f>"0611860884050"</f>
        <v>0611860884050</v>
      </c>
      <c r="B416" s="10" t="str">
        <f>"CR2589"</f>
        <v>CR2589</v>
      </c>
      <c r="C416" s="10" t="s">
        <v>395</v>
      </c>
    </row>
    <row r="417" spans="1:3" s="10" customFormat="1" x14ac:dyDescent="0.25">
      <c r="A417" s="10" t="str">
        <f>"0611860886050"</f>
        <v>0611860886050</v>
      </c>
      <c r="B417" s="10" t="str">
        <f>"CR5155"</f>
        <v>CR5155</v>
      </c>
      <c r="C417" s="10" t="s">
        <v>396</v>
      </c>
    </row>
    <row r="418" spans="1:3" s="10" customFormat="1" x14ac:dyDescent="0.25">
      <c r="A418" s="10" t="str">
        <f>"0611860887050"</f>
        <v>0611860887050</v>
      </c>
      <c r="B418" s="10" t="str">
        <f>"CR2094"</f>
        <v>CR2094</v>
      </c>
      <c r="C418" s="10" t="s">
        <v>397</v>
      </c>
    </row>
    <row r="419" spans="1:3" s="10" customFormat="1" x14ac:dyDescent="0.25">
      <c r="A419" s="10" t="str">
        <f>"0611860888050"</f>
        <v>0611860888050</v>
      </c>
      <c r="B419" s="10" t="str">
        <f>"CR2095"</f>
        <v>CR2095</v>
      </c>
      <c r="C419" s="10" t="s">
        <v>398</v>
      </c>
    </row>
    <row r="420" spans="1:3" s="10" customFormat="1" x14ac:dyDescent="0.25">
      <c r="A420" s="10" t="str">
        <f>"0611860890050"</f>
        <v>0611860890050</v>
      </c>
      <c r="B420" s="10" t="str">
        <f>"CR4035"</f>
        <v>CR4035</v>
      </c>
      <c r="C420" s="10" t="s">
        <v>399</v>
      </c>
    </row>
    <row r="421" spans="1:3" s="10" customFormat="1" x14ac:dyDescent="0.25">
      <c r="A421" s="10" t="str">
        <f>"0611860891050"</f>
        <v>0611860891050</v>
      </c>
      <c r="B421" s="10" t="str">
        <f>"CR2096"</f>
        <v>CR2096</v>
      </c>
      <c r="C421" s="10" t="s">
        <v>400</v>
      </c>
    </row>
    <row r="422" spans="1:3" s="10" customFormat="1" x14ac:dyDescent="0.25">
      <c r="A422" s="10" t="str">
        <f>"0611860892050"</f>
        <v>0611860892050</v>
      </c>
      <c r="B422" s="10" t="str">
        <f>"CR4931"</f>
        <v>CR4931</v>
      </c>
      <c r="C422" s="10" t="s">
        <v>401</v>
      </c>
    </row>
    <row r="423" spans="1:3" s="10" customFormat="1" x14ac:dyDescent="0.25">
      <c r="A423" s="10" t="str">
        <f>"0611860893050"</f>
        <v>0611860893050</v>
      </c>
      <c r="B423" s="10" t="str">
        <f>"CR4036"</f>
        <v>CR4036</v>
      </c>
      <c r="C423" s="10" t="s">
        <v>402</v>
      </c>
    </row>
    <row r="424" spans="1:3" s="10" customFormat="1" x14ac:dyDescent="0.25">
      <c r="A424" s="10" t="str">
        <f>"0611860894050"</f>
        <v>0611860894050</v>
      </c>
      <c r="B424" s="10" t="str">
        <f>"CR5163"</f>
        <v>CR5163</v>
      </c>
      <c r="C424" s="10" t="s">
        <v>403</v>
      </c>
    </row>
    <row r="425" spans="1:3" s="10" customFormat="1" x14ac:dyDescent="0.25">
      <c r="A425" s="10" t="str">
        <f>"0611860895050"</f>
        <v>0611860895050</v>
      </c>
      <c r="B425" s="10" t="str">
        <f>"CR3590"</f>
        <v>CR3590</v>
      </c>
      <c r="C425" s="10" t="s">
        <v>404</v>
      </c>
    </row>
    <row r="426" spans="1:3" s="10" customFormat="1" x14ac:dyDescent="0.25">
      <c r="A426" s="10" t="str">
        <f>"0611860896050"</f>
        <v>0611860896050</v>
      </c>
      <c r="B426" s="10" t="str">
        <f>"CR2097"</f>
        <v>CR2097</v>
      </c>
      <c r="C426" s="10" t="s">
        <v>405</v>
      </c>
    </row>
    <row r="427" spans="1:3" s="10" customFormat="1" x14ac:dyDescent="0.25">
      <c r="A427" s="10" t="str">
        <f>"0611860897050"</f>
        <v>0611860897050</v>
      </c>
      <c r="B427" s="10" t="str">
        <f>"CR2886"</f>
        <v>CR2886</v>
      </c>
      <c r="C427" s="10" t="s">
        <v>406</v>
      </c>
    </row>
    <row r="428" spans="1:3" s="10" customFormat="1" x14ac:dyDescent="0.25">
      <c r="A428" s="10" t="str">
        <f>"0611860898050"</f>
        <v>0611860898050</v>
      </c>
      <c r="B428" s="10" t="str">
        <f>"CR2100"</f>
        <v>CR2100</v>
      </c>
      <c r="C428" s="10" t="s">
        <v>407</v>
      </c>
    </row>
    <row r="429" spans="1:3" s="10" customFormat="1" x14ac:dyDescent="0.25">
      <c r="A429" s="10" t="str">
        <f>"0611860899050"</f>
        <v>0611860899050</v>
      </c>
      <c r="B429" s="10" t="str">
        <f>"CR4792"</f>
        <v>CR4792</v>
      </c>
      <c r="C429" s="10" t="s">
        <v>408</v>
      </c>
    </row>
    <row r="430" spans="1:3" s="10" customFormat="1" x14ac:dyDescent="0.25">
      <c r="A430" s="10" t="str">
        <f>"0611860900050"</f>
        <v>0611860900050</v>
      </c>
      <c r="B430" s="10" t="str">
        <f>"CR2101"</f>
        <v>CR2101</v>
      </c>
      <c r="C430" s="10" t="s">
        <v>409</v>
      </c>
    </row>
    <row r="431" spans="1:3" s="10" customFormat="1" x14ac:dyDescent="0.25">
      <c r="A431" s="10" t="str">
        <f>"0611860901050"</f>
        <v>0611860901050</v>
      </c>
      <c r="B431" s="10" t="str">
        <f>"CR2102"</f>
        <v>CR2102</v>
      </c>
      <c r="C431" s="10" t="s">
        <v>410</v>
      </c>
    </row>
    <row r="432" spans="1:3" s="10" customFormat="1" x14ac:dyDescent="0.25">
      <c r="A432" s="10" t="str">
        <f>"0611860902050"</f>
        <v>0611860902050</v>
      </c>
      <c r="B432" s="10" t="str">
        <f>"CR2103"</f>
        <v>CR2103</v>
      </c>
      <c r="C432" s="10" t="s">
        <v>411</v>
      </c>
    </row>
    <row r="433" spans="1:3" s="10" customFormat="1" x14ac:dyDescent="0.25">
      <c r="A433" s="10" t="str">
        <f>"0611860903050"</f>
        <v>0611860903050</v>
      </c>
      <c r="B433" s="10" t="str">
        <f>"CR4074"</f>
        <v>CR4074</v>
      </c>
      <c r="C433" s="10" t="s">
        <v>412</v>
      </c>
    </row>
    <row r="434" spans="1:3" s="10" customFormat="1" x14ac:dyDescent="0.25">
      <c r="A434" s="10" t="str">
        <f>"0611860904050"</f>
        <v>0611860904050</v>
      </c>
      <c r="B434" s="10" t="str">
        <f>"CR2104"</f>
        <v>CR2104</v>
      </c>
      <c r="C434" s="10" t="s">
        <v>413</v>
      </c>
    </row>
    <row r="435" spans="1:3" s="10" customFormat="1" x14ac:dyDescent="0.25">
      <c r="A435" s="10" t="str">
        <f>"0611860905050"</f>
        <v>0611860905050</v>
      </c>
      <c r="B435" s="10" t="str">
        <f>"CR5164"</f>
        <v>CR5164</v>
      </c>
      <c r="C435" s="10" t="s">
        <v>414</v>
      </c>
    </row>
    <row r="436" spans="1:3" s="10" customFormat="1" x14ac:dyDescent="0.25">
      <c r="A436" s="10" t="str">
        <f>"0611860906050"</f>
        <v>0611860906050</v>
      </c>
      <c r="B436" s="10" t="str">
        <f>"CR3410"</f>
        <v>CR3410</v>
      </c>
      <c r="C436" s="10" t="s">
        <v>415</v>
      </c>
    </row>
    <row r="437" spans="1:3" s="10" customFormat="1" x14ac:dyDescent="0.25">
      <c r="A437" s="10" t="str">
        <f>"0611860912050"</f>
        <v>0611860912050</v>
      </c>
      <c r="B437" s="10" t="str">
        <f>"CR2619"</f>
        <v>CR2619</v>
      </c>
      <c r="C437" s="10" t="s">
        <v>416</v>
      </c>
    </row>
    <row r="438" spans="1:3" s="10" customFormat="1" x14ac:dyDescent="0.25">
      <c r="A438" s="10" t="str">
        <f>"0611860916050"</f>
        <v>0611860916050</v>
      </c>
      <c r="B438" s="10" t="str">
        <f>"CR2791"</f>
        <v>CR2791</v>
      </c>
      <c r="C438" s="10" t="s">
        <v>417</v>
      </c>
    </row>
    <row r="439" spans="1:3" s="10" customFormat="1" x14ac:dyDescent="0.25">
      <c r="A439" s="10" t="str">
        <f>"0611860919050"</f>
        <v>0611860919050</v>
      </c>
      <c r="B439" s="10" t="str">
        <f>"CR2625"</f>
        <v>CR2625</v>
      </c>
      <c r="C439" s="10" t="s">
        <v>441</v>
      </c>
    </row>
    <row r="440" spans="1:3" s="10" customFormat="1" x14ac:dyDescent="0.25">
      <c r="A440" s="10" t="str">
        <f>"0611860920050"</f>
        <v>0611860920050</v>
      </c>
      <c r="B440" s="10" t="str">
        <f>"CR4932"</f>
        <v>CR4932</v>
      </c>
      <c r="C440" s="10" t="s">
        <v>418</v>
      </c>
    </row>
    <row r="441" spans="1:3" s="10" customFormat="1" x14ac:dyDescent="0.25">
      <c r="A441" s="10" t="str">
        <f>"0611860921050"</f>
        <v>0611860921050</v>
      </c>
      <c r="B441" s="10" t="str">
        <f>"CR4933"</f>
        <v>CR4933</v>
      </c>
      <c r="C441" s="10" t="s">
        <v>419</v>
      </c>
    </row>
    <row r="442" spans="1:3" s="10" customFormat="1" x14ac:dyDescent="0.25">
      <c r="A442" s="10" t="str">
        <f>"0611860922050"</f>
        <v>0611860922050</v>
      </c>
      <c r="B442" s="10" t="str">
        <f>"CR4934"</f>
        <v>CR4934</v>
      </c>
      <c r="C442" s="10" t="s">
        <v>420</v>
      </c>
    </row>
    <row r="443" spans="1:3" s="10" customFormat="1" x14ac:dyDescent="0.25">
      <c r="A443" s="10" t="str">
        <f>"0611906539050"</f>
        <v>0611906539050</v>
      </c>
      <c r="B443" s="10" t="str">
        <f>"CR5462"</f>
        <v>CR5462</v>
      </c>
      <c r="C443" s="10" t="s">
        <v>421</v>
      </c>
    </row>
    <row r="444" spans="1:3" s="10" customFormat="1" x14ac:dyDescent="0.25">
      <c r="A444" s="10" t="str">
        <f>"0611860923050"</f>
        <v>0611860923050</v>
      </c>
      <c r="B444" s="10" t="str">
        <f>"CR5158"</f>
        <v>CR5158</v>
      </c>
      <c r="C444" s="10" t="s">
        <v>422</v>
      </c>
    </row>
    <row r="445" spans="1:3" s="10" customFormat="1" x14ac:dyDescent="0.25">
      <c r="A445" s="10" t="str">
        <f>"0611860924050"</f>
        <v>0611860924050</v>
      </c>
      <c r="B445" s="10" t="str">
        <f>"CR4935"</f>
        <v>CR4935</v>
      </c>
      <c r="C445" s="10" t="s">
        <v>423</v>
      </c>
    </row>
    <row r="446" spans="1:3" s="10" customFormat="1" x14ac:dyDescent="0.25">
      <c r="A446" s="10" t="str">
        <f>"0611860925050"</f>
        <v>0611860925050</v>
      </c>
      <c r="B446" s="10" t="str">
        <f>"CR4936"</f>
        <v>CR4936</v>
      </c>
      <c r="C446" s="10" t="s">
        <v>425</v>
      </c>
    </row>
    <row r="447" spans="1:3" s="10" customFormat="1" x14ac:dyDescent="0.25">
      <c r="A447" s="10" t="str">
        <f>"0611860926050"</f>
        <v>0611860926050</v>
      </c>
      <c r="B447" s="10" t="str">
        <f>"CR5160"</f>
        <v>CR5160</v>
      </c>
      <c r="C447" s="10" t="s">
        <v>426</v>
      </c>
    </row>
    <row r="448" spans="1:3" s="10" customFormat="1" x14ac:dyDescent="0.25">
      <c r="A448" s="10" t="str">
        <f>"0611860927050"</f>
        <v>0611860927050</v>
      </c>
      <c r="B448" s="10" t="str">
        <f>"CR5159"</f>
        <v>CR5159</v>
      </c>
      <c r="C448" s="10" t="s">
        <v>424</v>
      </c>
    </row>
    <row r="449" spans="1:3" s="10" customFormat="1" x14ac:dyDescent="0.25">
      <c r="A449" s="10" t="str">
        <f>"0611860928050"</f>
        <v>0611860928050</v>
      </c>
      <c r="B449" s="10" t="str">
        <f>"CR4937"</f>
        <v>CR4937</v>
      </c>
      <c r="C449" s="10" t="s">
        <v>427</v>
      </c>
    </row>
    <row r="450" spans="1:3" s="10" customFormat="1" x14ac:dyDescent="0.25">
      <c r="A450" s="10" t="str">
        <f>"0611860929050"</f>
        <v>0611860929050</v>
      </c>
      <c r="B450" s="10" t="str">
        <f>"CR4938"</f>
        <v>CR4938</v>
      </c>
      <c r="C450" s="10" t="s">
        <v>428</v>
      </c>
    </row>
    <row r="451" spans="1:3" s="10" customFormat="1" x14ac:dyDescent="0.25">
      <c r="A451" s="10" t="str">
        <f>"0611860930050"</f>
        <v>0611860930050</v>
      </c>
      <c r="B451" s="10" t="str">
        <f>"CR3855"</f>
        <v>CR3855</v>
      </c>
      <c r="C451" s="10" t="s">
        <v>429</v>
      </c>
    </row>
    <row r="452" spans="1:3" s="10" customFormat="1" x14ac:dyDescent="0.25">
      <c r="A452" s="10" t="str">
        <f>"0611893351050"</f>
        <v>0611893351050</v>
      </c>
      <c r="B452" s="10" t="str">
        <f>"CR5432"</f>
        <v>CR5432</v>
      </c>
      <c r="C452" s="10" t="s">
        <v>430</v>
      </c>
    </row>
    <row r="453" spans="1:3" s="10" customFormat="1" x14ac:dyDescent="0.25">
      <c r="A453" s="10" t="str">
        <f>"0611860931050"</f>
        <v>0611860931050</v>
      </c>
      <c r="B453" s="10" t="str">
        <f>"CR5021"</f>
        <v>CR5021</v>
      </c>
      <c r="C453" s="10" t="s">
        <v>431</v>
      </c>
    </row>
    <row r="454" spans="1:3" s="10" customFormat="1" x14ac:dyDescent="0.25">
      <c r="A454" s="10" t="str">
        <f>"0611884081050"</f>
        <v>0611884081050</v>
      </c>
      <c r="B454" s="10" t="str">
        <f>"CR5320"</f>
        <v>CR5320</v>
      </c>
      <c r="C454" s="10" t="s">
        <v>432</v>
      </c>
    </row>
    <row r="455" spans="1:3" s="10" customFormat="1" x14ac:dyDescent="0.25">
      <c r="A455" s="10" t="str">
        <f>"0611860932050"</f>
        <v>0611860932050</v>
      </c>
      <c r="B455" s="10" t="str">
        <f>"CR4795"</f>
        <v>CR4795</v>
      </c>
      <c r="C455" s="10" t="s">
        <v>433</v>
      </c>
    </row>
    <row r="456" spans="1:3" s="10" customFormat="1" x14ac:dyDescent="0.25">
      <c r="A456" s="10" t="str">
        <f>"0611860933050"</f>
        <v>0611860933050</v>
      </c>
      <c r="B456" s="10" t="str">
        <f>"CR5161"</f>
        <v>CR5161</v>
      </c>
      <c r="C456" s="10" t="s">
        <v>434</v>
      </c>
    </row>
    <row r="457" spans="1:3" s="10" customFormat="1" x14ac:dyDescent="0.25">
      <c r="A457" s="10" t="str">
        <f>"0611860934050"</f>
        <v>0611860934050</v>
      </c>
      <c r="B457" s="10" t="str">
        <f>"CR5162"</f>
        <v>CR5162</v>
      </c>
      <c r="C457" s="10" t="s">
        <v>435</v>
      </c>
    </row>
    <row r="458" spans="1:3" s="10" customFormat="1" x14ac:dyDescent="0.25">
      <c r="A458" s="10" t="str">
        <f>"0611860935050"</f>
        <v>0611860935050</v>
      </c>
      <c r="B458" s="10" t="str">
        <f>"CR4794"</f>
        <v>CR4794</v>
      </c>
      <c r="C458" s="10" t="s">
        <v>436</v>
      </c>
    </row>
    <row r="459" spans="1:3" s="10" customFormat="1" x14ac:dyDescent="0.25">
      <c r="A459" s="10" t="str">
        <f>"0611884082050"</f>
        <v>0611884082050</v>
      </c>
      <c r="B459" s="10" t="str">
        <f>"CR5316"</f>
        <v>CR5316</v>
      </c>
      <c r="C459" s="10" t="s">
        <v>437</v>
      </c>
    </row>
    <row r="460" spans="1:3" s="10" customFormat="1" x14ac:dyDescent="0.25">
      <c r="A460" s="10" t="str">
        <f>"0611860936050"</f>
        <v>0611860936050</v>
      </c>
      <c r="B460" s="10" t="str">
        <f>"CR4793"</f>
        <v>CR4793</v>
      </c>
      <c r="C460" s="10" t="s">
        <v>438</v>
      </c>
    </row>
    <row r="461" spans="1:3" s="10" customFormat="1" x14ac:dyDescent="0.25">
      <c r="A461" s="10" t="str">
        <f>"0611860937050"</f>
        <v>0611860937050</v>
      </c>
      <c r="B461" s="10" t="str">
        <f>"CR3072"</f>
        <v>CR3072</v>
      </c>
      <c r="C461" s="10" t="s">
        <v>439</v>
      </c>
    </row>
    <row r="462" spans="1:3" s="10" customFormat="1" x14ac:dyDescent="0.25">
      <c r="A462" s="10" t="str">
        <f>"0611860938050"</f>
        <v>0611860938050</v>
      </c>
      <c r="B462" s="10" t="str">
        <f>"CR3073"</f>
        <v>CR3073</v>
      </c>
      <c r="C462" s="10" t="s">
        <v>440</v>
      </c>
    </row>
    <row r="463" spans="1:3" s="10" customFormat="1" x14ac:dyDescent="0.25">
      <c r="A463" s="10" t="str">
        <f>"0611860939050"</f>
        <v>0611860939050</v>
      </c>
      <c r="B463" s="10" t="str">
        <f>"CR2105"</f>
        <v>CR2105</v>
      </c>
      <c r="C463" s="10" t="s">
        <v>442</v>
      </c>
    </row>
    <row r="464" spans="1:3" s="10" customFormat="1" x14ac:dyDescent="0.25">
      <c r="A464" s="10" t="str">
        <f>"0611860941050"</f>
        <v>0611860941050</v>
      </c>
      <c r="B464" s="10" t="str">
        <f>"CR3074"</f>
        <v>CR3074</v>
      </c>
      <c r="C464" s="10" t="s">
        <v>443</v>
      </c>
    </row>
    <row r="465" spans="1:3" s="10" customFormat="1" x14ac:dyDescent="0.25">
      <c r="A465" s="10" t="str">
        <f>"0611861091100"</f>
        <v>0611861091100</v>
      </c>
      <c r="B465" s="10" t="str">
        <f>"CN5025"</f>
        <v>CN5025</v>
      </c>
      <c r="C465" s="10" t="s">
        <v>444</v>
      </c>
    </row>
    <row r="466" spans="1:3" s="10" customFormat="1" x14ac:dyDescent="0.25">
      <c r="A466" s="10" t="str">
        <f>"0611861095100"</f>
        <v>0611861095100</v>
      </c>
      <c r="B466" s="10" t="str">
        <f>"CN2345"</f>
        <v>CN2345</v>
      </c>
      <c r="C466" s="10" t="s">
        <v>445</v>
      </c>
    </row>
    <row r="467" spans="1:3" s="10" customFormat="1" x14ac:dyDescent="0.25">
      <c r="A467" s="10" t="str">
        <f>"0611861097050"</f>
        <v>0611861097050</v>
      </c>
      <c r="B467" s="10" t="str">
        <f>"CR4939"</f>
        <v>CR4939</v>
      </c>
      <c r="C467" s="10" t="s">
        <v>446</v>
      </c>
    </row>
    <row r="468" spans="1:3" s="10" customFormat="1" x14ac:dyDescent="0.25">
      <c r="A468" s="10" t="str">
        <f>"0611861098100"</f>
        <v>0611861098100</v>
      </c>
      <c r="B468" s="10" t="str">
        <f>"CN5027"</f>
        <v>CN5027</v>
      </c>
      <c r="C468" s="10" t="s">
        <v>447</v>
      </c>
    </row>
    <row r="469" spans="1:3" s="10" customFormat="1" x14ac:dyDescent="0.25">
      <c r="A469" s="10" t="str">
        <f>"0611861101050"</f>
        <v>0611861101050</v>
      </c>
      <c r="B469" s="10" t="str">
        <f>"CR4796"</f>
        <v>CR4796</v>
      </c>
      <c r="C469" s="10" t="s">
        <v>448</v>
      </c>
    </row>
    <row r="470" spans="1:3" s="10" customFormat="1" x14ac:dyDescent="0.25">
      <c r="A470" s="10" t="str">
        <f>"0611861102050"</f>
        <v>0611861102050</v>
      </c>
      <c r="B470" s="10" t="str">
        <f>"CR4212"</f>
        <v>CR4212</v>
      </c>
      <c r="C470" s="10" t="s">
        <v>449</v>
      </c>
    </row>
    <row r="471" spans="1:3" s="10" customFormat="1" x14ac:dyDescent="0.25">
      <c r="A471" s="10" t="str">
        <f>"0611861103050"</f>
        <v>0611861103050</v>
      </c>
      <c r="B471" s="10" t="str">
        <f>"CR3975"</f>
        <v>CR3975</v>
      </c>
      <c r="C471" s="10" t="s">
        <v>450</v>
      </c>
    </row>
    <row r="472" spans="1:3" s="10" customFormat="1" x14ac:dyDescent="0.25">
      <c r="A472" s="10" t="str">
        <f>"0611861104050"</f>
        <v>0611861104050</v>
      </c>
      <c r="B472" s="10" t="str">
        <f>"CR4528"</f>
        <v>CR4528</v>
      </c>
      <c r="C472" s="10" t="s">
        <v>451</v>
      </c>
    </row>
    <row r="473" spans="1:3" s="10" customFormat="1" x14ac:dyDescent="0.25">
      <c r="A473" s="10" t="str">
        <f>"0611861105050"</f>
        <v>0611861105050</v>
      </c>
      <c r="B473" s="10" t="str">
        <f>"CR4529"</f>
        <v>CR4529</v>
      </c>
      <c r="C473" s="10" t="s">
        <v>452</v>
      </c>
    </row>
    <row r="474" spans="1:3" s="10" customFormat="1" x14ac:dyDescent="0.25">
      <c r="A474" t="str">
        <f>"0611832938100"</f>
        <v>0611832938100</v>
      </c>
      <c r="B474" t="str">
        <f>"LY5714"</f>
        <v>LY5714</v>
      </c>
      <c r="C474" t="s">
        <v>453</v>
      </c>
    </row>
    <row r="475" spans="1:3" s="10" customFormat="1" x14ac:dyDescent="0.25">
      <c r="A475" t="str">
        <f>"0611832940100"</f>
        <v>0611832940100</v>
      </c>
      <c r="B475" t="str">
        <f>"LY5715"</f>
        <v>LY5715</v>
      </c>
      <c r="C475" t="s">
        <v>454</v>
      </c>
    </row>
    <row r="476" spans="1:3" s="10" customFormat="1" x14ac:dyDescent="0.25">
      <c r="A476" t="str">
        <f>"0611832941100"</f>
        <v>0611832941100</v>
      </c>
      <c r="B476" t="str">
        <f>"LY5671"</f>
        <v>LY5671</v>
      </c>
      <c r="C476" t="s">
        <v>455</v>
      </c>
    </row>
    <row r="477" spans="1:3" s="10" customFormat="1" x14ac:dyDescent="0.25">
      <c r="A477" t="str">
        <f>"0611856867100"</f>
        <v>0611856867100</v>
      </c>
      <c r="B477" t="str">
        <f>"LY5730"</f>
        <v>LY5730</v>
      </c>
      <c r="C477" t="s">
        <v>456</v>
      </c>
    </row>
    <row r="478" spans="1:3" s="10" customFormat="1" x14ac:dyDescent="0.25">
      <c r="A478" s="10" t="str">
        <f>"0611861106050"</f>
        <v>0611861106050</v>
      </c>
      <c r="B478" s="10" t="str">
        <f>"CR4530"</f>
        <v>CR4530</v>
      </c>
      <c r="C478" s="10" t="s">
        <v>457</v>
      </c>
    </row>
    <row r="479" spans="1:3" s="10" customFormat="1" x14ac:dyDescent="0.25">
      <c r="A479" s="10" t="str">
        <f>"0611861108050"</f>
        <v>0611861108050</v>
      </c>
      <c r="B479" s="10" t="str">
        <f>"CR5051"</f>
        <v>CR5051</v>
      </c>
      <c r="C479" s="10" t="s">
        <v>458</v>
      </c>
    </row>
    <row r="480" spans="1:3" s="10" customFormat="1" x14ac:dyDescent="0.25">
      <c r="A480" s="10" t="str">
        <f>"0611861109050"</f>
        <v>0611861109050</v>
      </c>
      <c r="B480" s="10" t="str">
        <f>"CR5052"</f>
        <v>CR5052</v>
      </c>
      <c r="C480" s="10" t="s">
        <v>459</v>
      </c>
    </row>
    <row r="481" spans="1:3" s="10" customFormat="1" x14ac:dyDescent="0.25">
      <c r="A481" s="10" t="str">
        <f>"0611861110050"</f>
        <v>0611861110050</v>
      </c>
      <c r="B481" s="10" t="str">
        <f>"CR5053"</f>
        <v>CR5053</v>
      </c>
      <c r="C481" s="10" t="s">
        <v>460</v>
      </c>
    </row>
    <row r="482" spans="1:3" s="10" customFormat="1" x14ac:dyDescent="0.25">
      <c r="A482" s="10" t="str">
        <f>"0611861111050"</f>
        <v>0611861111050</v>
      </c>
      <c r="B482" s="10" t="str">
        <f>"CR4531"</f>
        <v>CR4531</v>
      </c>
      <c r="C482" s="10" t="s">
        <v>461</v>
      </c>
    </row>
    <row r="483" spans="1:3" s="10" customFormat="1" x14ac:dyDescent="0.25">
      <c r="A483" s="10" t="str">
        <f>"0611893362050"</f>
        <v>0611893362050</v>
      </c>
      <c r="B483" s="10" t="str">
        <f>"CR5322"</f>
        <v>CR5322</v>
      </c>
      <c r="C483" s="10" t="s">
        <v>462</v>
      </c>
    </row>
    <row r="484" spans="1:3" s="10" customFormat="1" x14ac:dyDescent="0.25">
      <c r="A484" s="10" t="str">
        <f>"0611861112050"</f>
        <v>0611861112050</v>
      </c>
      <c r="B484" s="10" t="str">
        <f>"CR4532"</f>
        <v>CR4532</v>
      </c>
      <c r="C484" s="10" t="s">
        <v>463</v>
      </c>
    </row>
    <row r="485" spans="1:3" s="10" customFormat="1" x14ac:dyDescent="0.25">
      <c r="A485" s="10" t="str">
        <f>"0611861113050"</f>
        <v>0611861113050</v>
      </c>
      <c r="B485" s="10" t="str">
        <f>"CR4533"</f>
        <v>CR4533</v>
      </c>
      <c r="C485" s="10" t="s">
        <v>464</v>
      </c>
    </row>
    <row r="486" spans="1:3" s="10" customFormat="1" x14ac:dyDescent="0.25">
      <c r="A486" s="10" t="str">
        <f>"0611861115050"</f>
        <v>0611861115050</v>
      </c>
      <c r="B486" s="10" t="str">
        <f>"CR4881"</f>
        <v>CR4881</v>
      </c>
      <c r="C486" s="10" t="s">
        <v>465</v>
      </c>
    </row>
    <row r="487" spans="1:3" s="10" customFormat="1" x14ac:dyDescent="0.25">
      <c r="A487" s="10" t="str">
        <f>"0611861116050"</f>
        <v>0611861116050</v>
      </c>
      <c r="B487" s="10" t="str">
        <f>"CR4880"</f>
        <v>CR4880</v>
      </c>
      <c r="C487" s="10" t="s">
        <v>466</v>
      </c>
    </row>
    <row r="488" spans="1:3" s="10" customFormat="1" x14ac:dyDescent="0.25">
      <c r="A488" s="10" t="str">
        <f>"0611861117050"</f>
        <v>0611861117050</v>
      </c>
      <c r="B488" s="10" t="str">
        <f>"CR4534"</f>
        <v>CR4534</v>
      </c>
      <c r="C488" s="10" t="s">
        <v>467</v>
      </c>
    </row>
    <row r="489" spans="1:3" s="10" customFormat="1" x14ac:dyDescent="0.25">
      <c r="A489" s="10" t="str">
        <f>"0611861118050"</f>
        <v>0611861118050</v>
      </c>
      <c r="B489" s="10" t="str">
        <f>"CR4535"</f>
        <v>CR4535</v>
      </c>
      <c r="C489" s="10" t="s">
        <v>468</v>
      </c>
    </row>
    <row r="490" spans="1:3" s="10" customFormat="1" x14ac:dyDescent="0.25">
      <c r="A490" s="10" t="str">
        <f>"0611861119050"</f>
        <v>0611861119050</v>
      </c>
      <c r="B490" s="10" t="str">
        <f>"CR4536"</f>
        <v>CR4536</v>
      </c>
      <c r="C490" s="10" t="s">
        <v>469</v>
      </c>
    </row>
    <row r="491" spans="1:3" s="10" customFormat="1" x14ac:dyDescent="0.25">
      <c r="A491" s="10" t="str">
        <f>"0611861120050"</f>
        <v>0611861120050</v>
      </c>
      <c r="B491" s="10" t="str">
        <f>"CR4883"</f>
        <v>CR4883</v>
      </c>
      <c r="C491" s="10" t="s">
        <v>470</v>
      </c>
    </row>
    <row r="492" spans="1:3" s="10" customFormat="1" x14ac:dyDescent="0.25">
      <c r="A492" s="10" t="str">
        <f>"0611861121050"</f>
        <v>0611861121050</v>
      </c>
      <c r="B492" s="10" t="str">
        <f>"CR4537"</f>
        <v>CR4537</v>
      </c>
      <c r="C492" s="10" t="s">
        <v>471</v>
      </c>
    </row>
    <row r="493" spans="1:3" s="10" customFormat="1" x14ac:dyDescent="0.25">
      <c r="A493" s="10" t="str">
        <f>"0611861123050"</f>
        <v>0611861123050</v>
      </c>
      <c r="B493" s="10" t="str">
        <f>"CR4538"</f>
        <v>CR4538</v>
      </c>
      <c r="C493" s="10" t="s">
        <v>472</v>
      </c>
    </row>
    <row r="494" spans="1:3" s="10" customFormat="1" x14ac:dyDescent="0.25">
      <c r="A494" s="10" t="str">
        <f>"0611861124050"</f>
        <v>0611861124050</v>
      </c>
      <c r="B494" s="10" t="str">
        <f>"CR4539"</f>
        <v>CR4539</v>
      </c>
      <c r="C494" s="10" t="s">
        <v>473</v>
      </c>
    </row>
    <row r="495" spans="1:3" s="10" customFormat="1" x14ac:dyDescent="0.25">
      <c r="A495" s="10" t="str">
        <f>"0611861125050"</f>
        <v>0611861125050</v>
      </c>
      <c r="B495" s="10" t="str">
        <f>"CR3430"</f>
        <v>CR3430</v>
      </c>
      <c r="C495" s="10" t="s">
        <v>474</v>
      </c>
    </row>
    <row r="496" spans="1:3" s="10" customFormat="1" x14ac:dyDescent="0.25">
      <c r="A496" s="10" t="str">
        <f>"0611861126050"</f>
        <v>0611861126050</v>
      </c>
      <c r="B496" s="10" t="str">
        <f>"CR4541"</f>
        <v>CR4541</v>
      </c>
      <c r="C496" s="10" t="s">
        <v>475</v>
      </c>
    </row>
    <row r="497" spans="1:3" s="10" customFormat="1" x14ac:dyDescent="0.25">
      <c r="A497" s="10" t="str">
        <f>"0611861127050"</f>
        <v>0611861127050</v>
      </c>
      <c r="B497" s="10" t="str">
        <f>"CR4542"</f>
        <v>CR4542</v>
      </c>
      <c r="C497" s="10" t="s">
        <v>476</v>
      </c>
    </row>
    <row r="498" spans="1:3" s="10" customFormat="1" x14ac:dyDescent="0.25">
      <c r="A498" s="10" t="str">
        <f>"0611861128050"</f>
        <v>0611861128050</v>
      </c>
      <c r="B498" s="10" t="str">
        <f>"CR4543"</f>
        <v>CR4543</v>
      </c>
      <c r="C498" s="10" t="s">
        <v>477</v>
      </c>
    </row>
    <row r="499" spans="1:3" s="10" customFormat="1" x14ac:dyDescent="0.25">
      <c r="A499" s="10" t="str">
        <f>"0611861129050"</f>
        <v>0611861129050</v>
      </c>
      <c r="B499" s="10" t="str">
        <f>"CR4544"</f>
        <v>CR4544</v>
      </c>
      <c r="C499" s="10" t="s">
        <v>478</v>
      </c>
    </row>
    <row r="500" spans="1:3" s="10" customFormat="1" x14ac:dyDescent="0.25">
      <c r="A500" s="10" t="str">
        <f>"0611861130050"</f>
        <v>0611861130050</v>
      </c>
      <c r="B500" s="10" t="str">
        <f>"CR4545"</f>
        <v>CR4545</v>
      </c>
      <c r="C500" s="10" t="s">
        <v>479</v>
      </c>
    </row>
    <row r="501" spans="1:3" s="10" customFormat="1" x14ac:dyDescent="0.25">
      <c r="A501" s="10" t="str">
        <f>"0611861131050"</f>
        <v>0611861131050</v>
      </c>
      <c r="B501" s="10" t="str">
        <f>"CR4546"</f>
        <v>CR4546</v>
      </c>
      <c r="C501" s="10" t="s">
        <v>480</v>
      </c>
    </row>
    <row r="502" spans="1:3" s="10" customFormat="1" x14ac:dyDescent="0.25">
      <c r="A502" s="10" t="str">
        <f>"0611861132050"</f>
        <v>0611861132050</v>
      </c>
      <c r="B502" s="10" t="str">
        <f>"CR4547"</f>
        <v>CR4547</v>
      </c>
      <c r="C502" s="10" t="s">
        <v>481</v>
      </c>
    </row>
    <row r="503" spans="1:3" s="10" customFormat="1" x14ac:dyDescent="0.25">
      <c r="A503" s="10" t="str">
        <f>"0611861134050"</f>
        <v>0611861134050</v>
      </c>
      <c r="B503" s="10" t="str">
        <f>"CR3979"</f>
        <v>CR3979</v>
      </c>
      <c r="C503" s="10" t="s">
        <v>482</v>
      </c>
    </row>
    <row r="504" spans="1:3" s="10" customFormat="1" x14ac:dyDescent="0.25">
      <c r="A504" s="10" t="str">
        <f>"0611861135050"</f>
        <v>0611861135050</v>
      </c>
      <c r="B504" s="10" t="str">
        <f>"CR3980"</f>
        <v>CR3980</v>
      </c>
      <c r="C504" s="10" t="s">
        <v>483</v>
      </c>
    </row>
    <row r="505" spans="1:3" s="10" customFormat="1" x14ac:dyDescent="0.25">
      <c r="A505" s="10" t="str">
        <f>"0611861136050"</f>
        <v>0611861136050</v>
      </c>
      <c r="B505" s="10" t="str">
        <f>"CR5047"</f>
        <v>CR5047</v>
      </c>
      <c r="C505" s="10" t="s">
        <v>484</v>
      </c>
    </row>
    <row r="506" spans="1:3" s="10" customFormat="1" x14ac:dyDescent="0.25">
      <c r="A506" s="10" t="str">
        <f>"0611861137050"</f>
        <v>0611861137050</v>
      </c>
      <c r="B506" s="10" t="str">
        <f>"CR4549"</f>
        <v>CR4549</v>
      </c>
      <c r="C506" s="10" t="s">
        <v>485</v>
      </c>
    </row>
    <row r="507" spans="1:3" s="10" customFormat="1" x14ac:dyDescent="0.25">
      <c r="A507" s="10" t="str">
        <f>"0611861138050"</f>
        <v>0611861138050</v>
      </c>
      <c r="B507" s="10" t="str">
        <f>"CR4550"</f>
        <v>CR4550</v>
      </c>
      <c r="C507" s="10" t="s">
        <v>486</v>
      </c>
    </row>
    <row r="508" spans="1:3" s="10" customFormat="1" x14ac:dyDescent="0.25">
      <c r="A508" s="10" t="str">
        <f>"0611861139050"</f>
        <v>0611861139050</v>
      </c>
      <c r="B508" s="10" t="str">
        <f>"CR4551"</f>
        <v>CR4551</v>
      </c>
      <c r="C508" s="10" t="s">
        <v>487</v>
      </c>
    </row>
    <row r="509" spans="1:3" s="10" customFormat="1" x14ac:dyDescent="0.25">
      <c r="A509" s="10" t="str">
        <f>"0611861140050"</f>
        <v>0611861140050</v>
      </c>
      <c r="B509" s="10" t="str">
        <f>"CR4552"</f>
        <v>CR4552</v>
      </c>
      <c r="C509" s="10" t="s">
        <v>488</v>
      </c>
    </row>
    <row r="510" spans="1:3" s="10" customFormat="1" x14ac:dyDescent="0.25">
      <c r="A510" s="10" t="str">
        <f>"0611861141050"</f>
        <v>0611861141050</v>
      </c>
      <c r="B510" s="10" t="str">
        <f>"CR4885"</f>
        <v>CR4885</v>
      </c>
      <c r="C510" s="10" t="s">
        <v>489</v>
      </c>
    </row>
    <row r="511" spans="1:3" s="10" customFormat="1" x14ac:dyDescent="0.25">
      <c r="A511" s="10" t="str">
        <f>"0611861142050"</f>
        <v>0611861142050</v>
      </c>
      <c r="B511" s="10" t="str">
        <f>"CR4553"</f>
        <v>CR4553</v>
      </c>
      <c r="C511" s="10" t="s">
        <v>490</v>
      </c>
    </row>
    <row r="512" spans="1:3" s="10" customFormat="1" x14ac:dyDescent="0.25">
      <c r="A512" s="10" t="str">
        <f>"0611861143050"</f>
        <v>0611861143050</v>
      </c>
      <c r="B512" s="10" t="str">
        <f>"CR4554"</f>
        <v>CR4554</v>
      </c>
      <c r="C512" s="10" t="s">
        <v>491</v>
      </c>
    </row>
    <row r="513" spans="1:3" s="10" customFormat="1" x14ac:dyDescent="0.25">
      <c r="A513" s="10" t="str">
        <f>"0611893425050"</f>
        <v>0611893425050</v>
      </c>
      <c r="B513" s="10" t="str">
        <f>"CR5282"</f>
        <v>CR5282</v>
      </c>
      <c r="C513" s="10" t="s">
        <v>492</v>
      </c>
    </row>
    <row r="514" spans="1:3" s="10" customFormat="1" x14ac:dyDescent="0.25">
      <c r="A514" s="10" t="str">
        <f>"0611861144050"</f>
        <v>0611861144050</v>
      </c>
      <c r="B514" s="10" t="str">
        <f>"CR4555"</f>
        <v>CR4555</v>
      </c>
      <c r="C514" s="10" t="s">
        <v>493</v>
      </c>
    </row>
    <row r="515" spans="1:3" s="10" customFormat="1" x14ac:dyDescent="0.25">
      <c r="A515" s="10" t="str">
        <f>"0611861145050"</f>
        <v>0611861145050</v>
      </c>
      <c r="B515" s="10" t="str">
        <f>"CR4556"</f>
        <v>CR4556</v>
      </c>
      <c r="C515" s="10" t="s">
        <v>494</v>
      </c>
    </row>
    <row r="516" spans="1:3" s="10" customFormat="1" x14ac:dyDescent="0.25">
      <c r="A516" s="10" t="str">
        <f>"0611861146050"</f>
        <v>0611861146050</v>
      </c>
      <c r="B516" s="10" t="str">
        <f>"CR4557"</f>
        <v>CR4557</v>
      </c>
      <c r="C516" s="10" t="s">
        <v>495</v>
      </c>
    </row>
    <row r="517" spans="1:3" s="10" customFormat="1" x14ac:dyDescent="0.25">
      <c r="A517" s="10" t="str">
        <f>"0611861147050"</f>
        <v>0611861147050</v>
      </c>
      <c r="B517" s="10" t="str">
        <f>"CR4558"</f>
        <v>CR4558</v>
      </c>
      <c r="C517" s="10" t="s">
        <v>496</v>
      </c>
    </row>
    <row r="518" spans="1:3" s="10" customFormat="1" x14ac:dyDescent="0.25">
      <c r="A518" s="10" t="str">
        <f>"0611861148050"</f>
        <v>0611861148050</v>
      </c>
      <c r="B518" s="10" t="str">
        <f>"CR4559"</f>
        <v>CR4559</v>
      </c>
      <c r="C518" s="10" t="s">
        <v>497</v>
      </c>
    </row>
    <row r="519" spans="1:3" s="10" customFormat="1" x14ac:dyDescent="0.25">
      <c r="A519" s="10" t="str">
        <f>"0611861149050"</f>
        <v>0611861149050</v>
      </c>
      <c r="B519" s="10" t="str">
        <f>"CR5054"</f>
        <v>CR5054</v>
      </c>
      <c r="C519" s="10" t="s">
        <v>498</v>
      </c>
    </row>
    <row r="520" spans="1:3" s="10" customFormat="1" x14ac:dyDescent="0.25">
      <c r="A520" s="10" t="str">
        <f>"0611861150050"</f>
        <v>0611861150050</v>
      </c>
      <c r="B520" s="10" t="str">
        <f>"CR4560"</f>
        <v>CR4560</v>
      </c>
      <c r="C520" s="10" t="s">
        <v>499</v>
      </c>
    </row>
    <row r="521" spans="1:3" s="10" customFormat="1" x14ac:dyDescent="0.25">
      <c r="A521" s="10" t="str">
        <f>"0611861151050"</f>
        <v>0611861151050</v>
      </c>
      <c r="B521" s="10" t="str">
        <f>"CR4561"</f>
        <v>CR4561</v>
      </c>
      <c r="C521" s="10" t="s">
        <v>500</v>
      </c>
    </row>
    <row r="522" spans="1:3" s="10" customFormat="1" x14ac:dyDescent="0.25">
      <c r="A522" s="10" t="str">
        <f>"0611861152050"</f>
        <v>0611861152050</v>
      </c>
      <c r="B522" s="10" t="str">
        <f>"CR5055"</f>
        <v>CR5055</v>
      </c>
      <c r="C522" s="10" t="s">
        <v>501</v>
      </c>
    </row>
    <row r="523" spans="1:3" s="10" customFormat="1" x14ac:dyDescent="0.25">
      <c r="A523" s="10" t="str">
        <f>"0611861153050"</f>
        <v>0611861153050</v>
      </c>
      <c r="B523" s="10" t="str">
        <f>"CR5056"</f>
        <v>CR5056</v>
      </c>
      <c r="C523" s="10" t="s">
        <v>502</v>
      </c>
    </row>
    <row r="524" spans="1:3" s="10" customFormat="1" x14ac:dyDescent="0.25">
      <c r="A524" s="10" t="str">
        <f>"0611861154050"</f>
        <v>0611861154050</v>
      </c>
      <c r="B524" s="10" t="str">
        <f>"CR5057"</f>
        <v>CR5057</v>
      </c>
      <c r="C524" s="10" t="s">
        <v>503</v>
      </c>
    </row>
    <row r="525" spans="1:3" s="10" customFormat="1" x14ac:dyDescent="0.25">
      <c r="A525" s="10" t="str">
        <f>"0611861156050"</f>
        <v>0611861156050</v>
      </c>
      <c r="B525" s="10" t="str">
        <f>"CR4562"</f>
        <v>CR4562</v>
      </c>
      <c r="C525" s="10" t="s">
        <v>504</v>
      </c>
    </row>
    <row r="526" spans="1:3" s="10" customFormat="1" x14ac:dyDescent="0.25">
      <c r="A526" s="10" t="str">
        <f>"0611861157050"</f>
        <v>0611861157050</v>
      </c>
      <c r="B526" s="10" t="str">
        <f>"CR4563"</f>
        <v>CR4563</v>
      </c>
      <c r="C526" s="10" t="s">
        <v>505</v>
      </c>
    </row>
    <row r="527" spans="1:3" s="10" customFormat="1" x14ac:dyDescent="0.25">
      <c r="A527" s="10" t="str">
        <f>"0611861158050"</f>
        <v>0611861158050</v>
      </c>
      <c r="B527" s="10" t="str">
        <f>"CR4564"</f>
        <v>CR4564</v>
      </c>
      <c r="C527" s="10" t="s">
        <v>506</v>
      </c>
    </row>
    <row r="528" spans="1:3" s="10" customFormat="1" x14ac:dyDescent="0.25">
      <c r="A528" s="10" t="str">
        <f>"0611861159050"</f>
        <v>0611861159050</v>
      </c>
      <c r="B528" s="10" t="str">
        <f>"CR4565"</f>
        <v>CR4565</v>
      </c>
      <c r="C528" s="10" t="s">
        <v>507</v>
      </c>
    </row>
    <row r="529" spans="1:3" s="10" customFormat="1" x14ac:dyDescent="0.25">
      <c r="A529" s="10" t="str">
        <f>"0611861160050"</f>
        <v>0611861160050</v>
      </c>
      <c r="B529" s="10" t="str">
        <f>"CR4566"</f>
        <v>CR4566</v>
      </c>
      <c r="C529" s="10" t="s">
        <v>508</v>
      </c>
    </row>
    <row r="530" spans="1:3" s="10" customFormat="1" x14ac:dyDescent="0.25">
      <c r="A530" s="10" t="str">
        <f>"0611861161050"</f>
        <v>0611861161050</v>
      </c>
      <c r="B530" s="10" t="str">
        <f>"CR4567"</f>
        <v>CR4567</v>
      </c>
      <c r="C530" s="10" t="s">
        <v>509</v>
      </c>
    </row>
    <row r="531" spans="1:3" s="10" customFormat="1" x14ac:dyDescent="0.25">
      <c r="A531" s="10" t="str">
        <f>"0611861162050"</f>
        <v>0611861162050</v>
      </c>
      <c r="B531" s="10" t="str">
        <f>"CR4568"</f>
        <v>CR4568</v>
      </c>
      <c r="C531" s="10" t="s">
        <v>510</v>
      </c>
    </row>
    <row r="532" spans="1:3" s="10" customFormat="1" x14ac:dyDescent="0.25">
      <c r="A532" s="10" t="str">
        <f>"0611861163050"</f>
        <v>0611861163050</v>
      </c>
      <c r="B532" s="10" t="str">
        <f>"CR4569"</f>
        <v>CR4569</v>
      </c>
      <c r="C532" s="10" t="s">
        <v>511</v>
      </c>
    </row>
    <row r="533" spans="1:3" s="10" customFormat="1" x14ac:dyDescent="0.25">
      <c r="A533" s="10" t="str">
        <f>"0611861164050"</f>
        <v>0611861164050</v>
      </c>
      <c r="B533" s="10" t="str">
        <f>"CR4570"</f>
        <v>CR4570</v>
      </c>
      <c r="C533" s="10" t="s">
        <v>512</v>
      </c>
    </row>
    <row r="534" spans="1:3" s="10" customFormat="1" x14ac:dyDescent="0.25">
      <c r="A534" s="10" t="str">
        <f>"0611861165050"</f>
        <v>0611861165050</v>
      </c>
      <c r="B534" s="10" t="str">
        <f>"CR4571"</f>
        <v>CR4571</v>
      </c>
      <c r="C534" s="10" t="s">
        <v>513</v>
      </c>
    </row>
    <row r="535" spans="1:3" s="10" customFormat="1" x14ac:dyDescent="0.25">
      <c r="A535" s="10" t="str">
        <f>"0611861166050"</f>
        <v>0611861166050</v>
      </c>
      <c r="B535" s="10" t="str">
        <f>"CR2689"</f>
        <v>CR2689</v>
      </c>
      <c r="C535" s="10" t="s">
        <v>514</v>
      </c>
    </row>
    <row r="536" spans="1:3" s="10" customFormat="1" x14ac:dyDescent="0.25">
      <c r="A536" s="10" t="str">
        <f>"0611861167050"</f>
        <v>0611861167050</v>
      </c>
      <c r="B536" s="10" t="str">
        <f>"CR4572"</f>
        <v>CR4572</v>
      </c>
      <c r="C536" s="10" t="s">
        <v>515</v>
      </c>
    </row>
    <row r="537" spans="1:3" s="10" customFormat="1" x14ac:dyDescent="0.25">
      <c r="A537" s="10" t="str">
        <f>"0611861168050"</f>
        <v>0611861168050</v>
      </c>
      <c r="B537" s="10" t="str">
        <f>"CR4884"</f>
        <v>CR4884</v>
      </c>
      <c r="C537" s="10" t="s">
        <v>516</v>
      </c>
    </row>
    <row r="538" spans="1:3" s="10" customFormat="1" x14ac:dyDescent="0.25">
      <c r="A538" s="10" t="str">
        <f>"0611861169050"</f>
        <v>0611861169050</v>
      </c>
      <c r="B538" s="10" t="str">
        <f>"CR5058"</f>
        <v>CR5058</v>
      </c>
      <c r="C538" s="10" t="s">
        <v>517</v>
      </c>
    </row>
    <row r="539" spans="1:3" s="10" customFormat="1" x14ac:dyDescent="0.25">
      <c r="A539" s="10" t="str">
        <f>"0611861170050"</f>
        <v>0611861170050</v>
      </c>
      <c r="B539" s="10" t="str">
        <f>"CR4573"</f>
        <v>CR4573</v>
      </c>
      <c r="C539" s="10" t="s">
        <v>518</v>
      </c>
    </row>
    <row r="540" spans="1:3" s="10" customFormat="1" x14ac:dyDescent="0.25">
      <c r="A540" s="10" t="str">
        <f>"0611893496050"</f>
        <v>0611893496050</v>
      </c>
      <c r="B540" s="10" t="str">
        <f>"CR5324"</f>
        <v>CR5324</v>
      </c>
      <c r="C540" s="10" t="s">
        <v>519</v>
      </c>
    </row>
    <row r="541" spans="1:3" s="10" customFormat="1" x14ac:dyDescent="0.25">
      <c r="A541" s="10" t="str">
        <f>"0611861171050"</f>
        <v>0611861171050</v>
      </c>
      <c r="B541" s="10" t="str">
        <f>"CR4574"</f>
        <v>CR4574</v>
      </c>
      <c r="C541" s="10" t="s">
        <v>520</v>
      </c>
    </row>
    <row r="542" spans="1:3" s="10" customFormat="1" x14ac:dyDescent="0.25">
      <c r="A542" s="10" t="str">
        <f>"0611861172050"</f>
        <v>0611861172050</v>
      </c>
      <c r="B542" s="10" t="str">
        <f>"CR4575"</f>
        <v>CR4575</v>
      </c>
      <c r="C542" s="10" t="s">
        <v>521</v>
      </c>
    </row>
    <row r="543" spans="1:3" s="10" customFormat="1" x14ac:dyDescent="0.25">
      <c r="A543" s="10" t="str">
        <f>"0611861173050"</f>
        <v>0611861173050</v>
      </c>
      <c r="B543" s="10" t="str">
        <f>"CR4576"</f>
        <v>CR4576</v>
      </c>
      <c r="C543" s="10" t="s">
        <v>522</v>
      </c>
    </row>
    <row r="544" spans="1:3" s="10" customFormat="1" x14ac:dyDescent="0.25">
      <c r="A544" s="10" t="str">
        <f>"0611861175050"</f>
        <v>0611861175050</v>
      </c>
      <c r="B544" s="10" t="str">
        <f>"CR4577"</f>
        <v>CR4577</v>
      </c>
      <c r="C544" s="10" t="s">
        <v>523</v>
      </c>
    </row>
    <row r="545" spans="1:3" s="10" customFormat="1" x14ac:dyDescent="0.25">
      <c r="A545" s="10" t="str">
        <f>"0611893512050"</f>
        <v>0611893512050</v>
      </c>
      <c r="B545" s="10" t="str">
        <f>"CR5283"</f>
        <v>CR5283</v>
      </c>
      <c r="C545" s="10" t="s">
        <v>524</v>
      </c>
    </row>
    <row r="546" spans="1:3" s="10" customFormat="1" x14ac:dyDescent="0.25">
      <c r="A546" s="10" t="str">
        <f>"0611861176050"</f>
        <v>0611861176050</v>
      </c>
      <c r="B546" s="10" t="str">
        <f>"CR4578"</f>
        <v>CR4578</v>
      </c>
      <c r="C546" s="10" t="s">
        <v>525</v>
      </c>
    </row>
    <row r="547" spans="1:3" s="10" customFormat="1" x14ac:dyDescent="0.25">
      <c r="A547" s="10" t="str">
        <f>"0611861177050"</f>
        <v>0611861177050</v>
      </c>
      <c r="B547" s="10" t="str">
        <f>"CR4579"</f>
        <v>CR4579</v>
      </c>
      <c r="C547" s="10" t="s">
        <v>526</v>
      </c>
    </row>
    <row r="548" spans="1:3" s="10" customFormat="1" x14ac:dyDescent="0.25">
      <c r="A548" s="10" t="str">
        <f>"0611861178050"</f>
        <v>0611861178050</v>
      </c>
      <c r="B548" s="10" t="str">
        <f>"CR4580"</f>
        <v>CR4580</v>
      </c>
      <c r="C548" s="10" t="s">
        <v>527</v>
      </c>
    </row>
    <row r="549" spans="1:3" s="10" customFormat="1" x14ac:dyDescent="0.25">
      <c r="A549" s="10" t="str">
        <f>"0611861179050"</f>
        <v>0611861179050</v>
      </c>
      <c r="B549" s="10" t="str">
        <f>"CR2674"</f>
        <v>CR2674</v>
      </c>
      <c r="C549" s="10" t="s">
        <v>528</v>
      </c>
    </row>
    <row r="550" spans="1:3" s="10" customFormat="1" x14ac:dyDescent="0.25">
      <c r="A550" s="10" t="str">
        <f>"0611861180050"</f>
        <v>0611861180050</v>
      </c>
      <c r="B550" s="10" t="str">
        <f>"CR4582"</f>
        <v>CR4582</v>
      </c>
      <c r="C550" s="10" t="s">
        <v>529</v>
      </c>
    </row>
    <row r="551" spans="1:3" s="10" customFormat="1" x14ac:dyDescent="0.25">
      <c r="A551" s="10" t="str">
        <f>"0611861181050"</f>
        <v>0611861181050</v>
      </c>
      <c r="B551" s="10" t="str">
        <f>"CR4882"</f>
        <v>CR4882</v>
      </c>
      <c r="C551" s="10" t="s">
        <v>530</v>
      </c>
    </row>
    <row r="552" spans="1:3" s="10" customFormat="1" x14ac:dyDescent="0.25">
      <c r="A552" s="10" t="str">
        <f>"0611861182050"</f>
        <v>0611861182050</v>
      </c>
      <c r="B552" s="10" t="str">
        <f>"CR5046"</f>
        <v>CR5046</v>
      </c>
      <c r="C552" s="10" t="s">
        <v>531</v>
      </c>
    </row>
    <row r="553" spans="1:3" s="10" customFormat="1" x14ac:dyDescent="0.25">
      <c r="A553" s="10" t="str">
        <f>"0611861183050"</f>
        <v>0611861183050</v>
      </c>
      <c r="B553" s="10" t="str">
        <f>"CR3983"</f>
        <v>CR3983</v>
      </c>
      <c r="C553" s="10" t="s">
        <v>532</v>
      </c>
    </row>
    <row r="554" spans="1:3" s="10" customFormat="1" x14ac:dyDescent="0.25">
      <c r="A554" s="10" t="str">
        <f>"0611861184050"</f>
        <v>0611861184050</v>
      </c>
      <c r="B554" s="10" t="str">
        <f>"CR4583"</f>
        <v>CR4583</v>
      </c>
      <c r="C554" s="10" t="s">
        <v>533</v>
      </c>
    </row>
    <row r="555" spans="1:3" s="10" customFormat="1" x14ac:dyDescent="0.25">
      <c r="A555" s="10" t="str">
        <f>"0611893529050"</f>
        <v>0611893529050</v>
      </c>
      <c r="B555" s="10" t="str">
        <f>"CR5104"</f>
        <v>CR5104</v>
      </c>
      <c r="C555" s="10" t="s">
        <v>534</v>
      </c>
    </row>
    <row r="556" spans="1:3" s="10" customFormat="1" x14ac:dyDescent="0.25">
      <c r="A556" s="10" t="str">
        <f>"0611893530050"</f>
        <v>0611893530050</v>
      </c>
      <c r="B556" s="10" t="str">
        <f>"CR5285"</f>
        <v>CR5285</v>
      </c>
      <c r="C556" s="10" t="s">
        <v>535</v>
      </c>
    </row>
    <row r="557" spans="1:3" s="10" customFormat="1" x14ac:dyDescent="0.25">
      <c r="A557" s="10" t="str">
        <f>"0611893531050"</f>
        <v>0611893531050</v>
      </c>
      <c r="B557" s="10" t="str">
        <f>"CR5286"</f>
        <v>CR5286</v>
      </c>
      <c r="C557" s="10" t="s">
        <v>536</v>
      </c>
    </row>
    <row r="558" spans="1:3" s="10" customFormat="1" x14ac:dyDescent="0.25">
      <c r="A558" s="10" t="str">
        <f>"0611893532050"</f>
        <v>0611893532050</v>
      </c>
      <c r="B558" s="10" t="str">
        <f>"CR5287"</f>
        <v>CR5287</v>
      </c>
      <c r="C558" s="10" t="s">
        <v>537</v>
      </c>
    </row>
    <row r="559" spans="1:3" s="10" customFormat="1" x14ac:dyDescent="0.25">
      <c r="A559" s="10" t="str">
        <f>"0611893533050"</f>
        <v>0611893533050</v>
      </c>
      <c r="B559" s="10" t="str">
        <f>"CR5288"</f>
        <v>CR5288</v>
      </c>
      <c r="C559" s="10" t="s">
        <v>538</v>
      </c>
    </row>
    <row r="560" spans="1:3" s="10" customFormat="1" x14ac:dyDescent="0.25">
      <c r="A560" s="10" t="str">
        <f>"0611861185050"</f>
        <v>0611861185050</v>
      </c>
      <c r="B560" s="10" t="str">
        <f>"CR4584"</f>
        <v>CR4584</v>
      </c>
      <c r="C560" s="10" t="s">
        <v>539</v>
      </c>
    </row>
    <row r="561" spans="1:3" s="10" customFormat="1" x14ac:dyDescent="0.25">
      <c r="A561" s="10" t="str">
        <f>"0611861186050"</f>
        <v>0611861186050</v>
      </c>
      <c r="B561" s="10" t="str">
        <f>"CR5059"</f>
        <v>CR5059</v>
      </c>
      <c r="C561" s="10" t="s">
        <v>540</v>
      </c>
    </row>
    <row r="562" spans="1:3" s="10" customFormat="1" x14ac:dyDescent="0.25">
      <c r="A562" s="10" t="str">
        <f>"0611861188050"</f>
        <v>0611861188050</v>
      </c>
      <c r="B562" s="10" t="str">
        <f>"CR4585"</f>
        <v>CR4585</v>
      </c>
      <c r="C562" s="10" t="s">
        <v>541</v>
      </c>
    </row>
    <row r="563" spans="1:3" s="10" customFormat="1" x14ac:dyDescent="0.25">
      <c r="A563" s="10" t="str">
        <f>"0611884098050"</f>
        <v>0611884098050</v>
      </c>
      <c r="B563" s="10" t="str">
        <f>"CR5368"</f>
        <v>CR5368</v>
      </c>
      <c r="C563" s="10" t="s">
        <v>546</v>
      </c>
    </row>
    <row r="564" spans="1:3" s="10" customFormat="1" x14ac:dyDescent="0.25">
      <c r="A564" s="10" t="str">
        <f>"0611884099050"</f>
        <v>0611884099050</v>
      </c>
      <c r="B564" s="10" t="str">
        <f>"CR5346"</f>
        <v>CR5346</v>
      </c>
      <c r="C564" s="10" t="s">
        <v>585</v>
      </c>
    </row>
    <row r="565" spans="1:3" s="10" customFormat="1" x14ac:dyDescent="0.25">
      <c r="A565" s="10" t="str">
        <f>"0611861190050"</f>
        <v>0611861190050</v>
      </c>
      <c r="B565" s="10" t="str">
        <f>"CR2629"</f>
        <v>CR2629</v>
      </c>
      <c r="C565" s="10" t="s">
        <v>542</v>
      </c>
    </row>
    <row r="566" spans="1:3" s="10" customFormat="1" x14ac:dyDescent="0.25">
      <c r="A566" s="10" t="str">
        <f>"0611861191050"</f>
        <v>0611861191050</v>
      </c>
      <c r="B566" s="10" t="str">
        <f>"CR3493"</f>
        <v>CR3493</v>
      </c>
      <c r="C566" s="10" t="s">
        <v>543</v>
      </c>
    </row>
    <row r="567" spans="1:3" s="10" customFormat="1" x14ac:dyDescent="0.25">
      <c r="A567" s="10" t="str">
        <f>"0611861193050"</f>
        <v>0611861193050</v>
      </c>
      <c r="B567" s="10" t="str">
        <f>"CR3495"</f>
        <v>CR3495</v>
      </c>
      <c r="C567" s="10" t="s">
        <v>544</v>
      </c>
    </row>
    <row r="568" spans="1:3" s="10" customFormat="1" x14ac:dyDescent="0.25">
      <c r="A568" s="10" t="str">
        <f>"0611884100050"</f>
        <v>0611884100050</v>
      </c>
      <c r="B568" s="10" t="str">
        <f>"CR5369"</f>
        <v>CR5369</v>
      </c>
      <c r="C568" s="10" t="s">
        <v>548</v>
      </c>
    </row>
    <row r="569" spans="1:3" s="10" customFormat="1" x14ac:dyDescent="0.25">
      <c r="A569" s="10" t="str">
        <f>"0611884102050"</f>
        <v>0611884102050</v>
      </c>
      <c r="B569" s="10" t="str">
        <f>"CR5360"</f>
        <v>CR5360</v>
      </c>
      <c r="C569" s="10" t="s">
        <v>550</v>
      </c>
    </row>
    <row r="570" spans="1:3" s="10" customFormat="1" x14ac:dyDescent="0.25">
      <c r="A570" s="10" t="str">
        <f>"0611884103050"</f>
        <v>0611884103050</v>
      </c>
      <c r="B570" s="10" t="str">
        <f>"CR5352"</f>
        <v>CR5352</v>
      </c>
      <c r="C570" s="10" t="s">
        <v>552</v>
      </c>
    </row>
    <row r="571" spans="1:3" s="10" customFormat="1" x14ac:dyDescent="0.25">
      <c r="A571" s="10" t="str">
        <f>"0611884104050"</f>
        <v>0611884104050</v>
      </c>
      <c r="B571" s="10" t="str">
        <f>"CR5341"</f>
        <v>CR5341</v>
      </c>
      <c r="C571" s="10" t="s">
        <v>555</v>
      </c>
    </row>
    <row r="572" spans="1:3" s="10" customFormat="1" x14ac:dyDescent="0.25">
      <c r="A572" s="10" t="str">
        <f>"0611884105050"</f>
        <v>0611884105050</v>
      </c>
      <c r="B572" s="10" t="str">
        <f>"CR5353"</f>
        <v>CR5353</v>
      </c>
      <c r="C572" s="10" t="s">
        <v>556</v>
      </c>
    </row>
    <row r="573" spans="1:3" s="10" customFormat="1" x14ac:dyDescent="0.25">
      <c r="A573" s="10" t="str">
        <f>"0611906540050"</f>
        <v>0611906540050</v>
      </c>
      <c r="B573" s="10" t="str">
        <f>"CR5463"</f>
        <v>CR5463</v>
      </c>
      <c r="C573" s="10" t="s">
        <v>547</v>
      </c>
    </row>
    <row r="574" spans="1:3" s="10" customFormat="1" x14ac:dyDescent="0.25">
      <c r="A574" s="10" t="str">
        <f>"0611884101050"</f>
        <v>0611884101050</v>
      </c>
      <c r="B574" s="10" t="str">
        <f>"CR5370"</f>
        <v>CR5370</v>
      </c>
      <c r="C574" s="10" t="s">
        <v>549</v>
      </c>
    </row>
    <row r="575" spans="1:3" s="10" customFormat="1" x14ac:dyDescent="0.25">
      <c r="A575" s="10" t="str">
        <f>"0611893553050"</f>
        <v>0611893553050</v>
      </c>
      <c r="B575" s="10" t="str">
        <f>"CR5440"</f>
        <v>CR5440</v>
      </c>
      <c r="C575" s="10" t="s">
        <v>551</v>
      </c>
    </row>
    <row r="576" spans="1:3" s="10" customFormat="1" x14ac:dyDescent="0.25">
      <c r="A576" s="10" t="str">
        <f>"0611906541050"</f>
        <v>0611906541050</v>
      </c>
      <c r="B576" s="10" t="str">
        <f>"CR5464"</f>
        <v>CR5464</v>
      </c>
      <c r="C576" s="10" t="s">
        <v>553</v>
      </c>
    </row>
    <row r="577" spans="1:3" s="10" customFormat="1" x14ac:dyDescent="0.25">
      <c r="A577" s="10" t="str">
        <f>"0611906542050"</f>
        <v>0611906542050</v>
      </c>
      <c r="B577" s="10" t="str">
        <f>"CR5468"</f>
        <v>CR5468</v>
      </c>
      <c r="C577" s="10" t="s">
        <v>554</v>
      </c>
    </row>
    <row r="578" spans="1:3" s="10" customFormat="1" x14ac:dyDescent="0.25">
      <c r="A578" s="10" t="str">
        <f>"0611861194050"</f>
        <v>0611861194050</v>
      </c>
      <c r="B578" s="10" t="str">
        <f>"CR3956"</f>
        <v>CR3956</v>
      </c>
      <c r="C578" s="10" t="s">
        <v>557</v>
      </c>
    </row>
    <row r="579" spans="1:3" s="10" customFormat="1" x14ac:dyDescent="0.25">
      <c r="A579" s="10" t="str">
        <f>"0611861195050"</f>
        <v>0611861195050</v>
      </c>
      <c r="B579" s="10" t="str">
        <f>"CR3496"</f>
        <v>CR3496</v>
      </c>
      <c r="C579" s="10" t="s">
        <v>558</v>
      </c>
    </row>
    <row r="580" spans="1:3" s="10" customFormat="1" x14ac:dyDescent="0.25">
      <c r="A580" s="10" t="str">
        <f>"0611861196050"</f>
        <v>0611861196050</v>
      </c>
      <c r="B580" s="10" t="str">
        <f>"CR3497"</f>
        <v>CR3497</v>
      </c>
      <c r="C580" s="10" t="s">
        <v>559</v>
      </c>
    </row>
    <row r="581" spans="1:3" s="10" customFormat="1" x14ac:dyDescent="0.25">
      <c r="A581" s="10" t="str">
        <f>"0611861197050"</f>
        <v>0611861197050</v>
      </c>
      <c r="B581" s="10" t="str">
        <f>"CR3498"</f>
        <v>CR3498</v>
      </c>
      <c r="C581" s="10" t="s">
        <v>560</v>
      </c>
    </row>
    <row r="582" spans="1:3" s="10" customFormat="1" x14ac:dyDescent="0.25">
      <c r="A582" s="10" t="str">
        <f>"0611861198050"</f>
        <v>0611861198050</v>
      </c>
      <c r="B582" s="10" t="str">
        <f>"CR3499"</f>
        <v>CR3499</v>
      </c>
      <c r="C582" s="10" t="s">
        <v>561</v>
      </c>
    </row>
    <row r="583" spans="1:3" s="10" customFormat="1" x14ac:dyDescent="0.25">
      <c r="A583" s="10" t="str">
        <f>"0611861199050"</f>
        <v>0611861199050</v>
      </c>
      <c r="B583" s="10" t="str">
        <f>"CR3669"</f>
        <v>CR3669</v>
      </c>
      <c r="C583" s="10" t="s">
        <v>562</v>
      </c>
    </row>
    <row r="584" spans="1:3" s="10" customFormat="1" x14ac:dyDescent="0.25">
      <c r="A584" s="10" t="str">
        <f>"0611861200050"</f>
        <v>0611861200050</v>
      </c>
      <c r="B584" s="10" t="str">
        <f>"CR3670"</f>
        <v>CR3670</v>
      </c>
      <c r="C584" s="10" t="s">
        <v>563</v>
      </c>
    </row>
    <row r="585" spans="1:3" s="10" customFormat="1" x14ac:dyDescent="0.25">
      <c r="A585" s="10" t="str">
        <f>"0611861201050"</f>
        <v>0611861201050</v>
      </c>
      <c r="B585" s="10" t="str">
        <f>"CR3671"</f>
        <v>CR3671</v>
      </c>
      <c r="C585" s="10" t="s">
        <v>564</v>
      </c>
    </row>
    <row r="586" spans="1:3" s="10" customFormat="1" x14ac:dyDescent="0.25">
      <c r="A586" s="10" t="str">
        <f>"0611861202050"</f>
        <v>0611861202050</v>
      </c>
      <c r="B586" s="10" t="str">
        <f>"CR3672"</f>
        <v>CR3672</v>
      </c>
      <c r="C586" s="10" t="s">
        <v>565</v>
      </c>
    </row>
    <row r="587" spans="1:3" s="10" customFormat="1" x14ac:dyDescent="0.25">
      <c r="A587" s="10" t="str">
        <f>"0611861203050"</f>
        <v>0611861203050</v>
      </c>
      <c r="B587" s="10" t="str">
        <f>"CR3500"</f>
        <v>CR3500</v>
      </c>
      <c r="C587" s="10" t="s">
        <v>566</v>
      </c>
    </row>
    <row r="588" spans="1:3" s="10" customFormat="1" x14ac:dyDescent="0.25">
      <c r="A588" s="10" t="str">
        <f>"0611861204050"</f>
        <v>0611861204050</v>
      </c>
      <c r="B588" s="10" t="str">
        <f>"CR3501"</f>
        <v>CR3501</v>
      </c>
      <c r="C588" s="10" t="s">
        <v>567</v>
      </c>
    </row>
    <row r="589" spans="1:3" s="10" customFormat="1" x14ac:dyDescent="0.25">
      <c r="A589" s="10" t="str">
        <f>"0611861205050"</f>
        <v>0611861205050</v>
      </c>
      <c r="B589" s="10" t="str">
        <f>"CR3443"</f>
        <v>CR3443</v>
      </c>
      <c r="C589" s="10" t="s">
        <v>568</v>
      </c>
    </row>
    <row r="590" spans="1:3" s="10" customFormat="1" x14ac:dyDescent="0.25">
      <c r="A590" s="10" t="str">
        <f>"0611861206050"</f>
        <v>0611861206050</v>
      </c>
      <c r="B590" s="10" t="str">
        <f>"CR3444"</f>
        <v>CR3444</v>
      </c>
      <c r="C590" s="10" t="s">
        <v>569</v>
      </c>
    </row>
    <row r="591" spans="1:3" s="10" customFormat="1" x14ac:dyDescent="0.25">
      <c r="A591" s="10" t="str">
        <f>"0611861207050"</f>
        <v>0611861207050</v>
      </c>
      <c r="B591" s="10" t="str">
        <f>"CR2119"</f>
        <v>CR2119</v>
      </c>
      <c r="C591" s="10" t="s">
        <v>545</v>
      </c>
    </row>
    <row r="592" spans="1:3" s="10" customFormat="1" x14ac:dyDescent="0.25">
      <c r="A592" s="10" t="str">
        <f>"0611861208050"</f>
        <v>0611861208050</v>
      </c>
      <c r="B592" s="10" t="str">
        <f>"CR3502"</f>
        <v>CR3502</v>
      </c>
      <c r="C592" s="10" t="s">
        <v>570</v>
      </c>
    </row>
    <row r="593" spans="1:3" s="10" customFormat="1" x14ac:dyDescent="0.25">
      <c r="A593" s="10" t="str">
        <f>"0611861209050"</f>
        <v>0611861209050</v>
      </c>
      <c r="B593" s="10" t="str">
        <f>"CR4797"</f>
        <v>CR4797</v>
      </c>
      <c r="C593" s="10" t="s">
        <v>571</v>
      </c>
    </row>
    <row r="594" spans="1:3" s="10" customFormat="1" x14ac:dyDescent="0.25">
      <c r="A594" s="10" t="str">
        <f>"0611861210050"</f>
        <v>0611861210050</v>
      </c>
      <c r="B594" s="10" t="str">
        <f>"CR3503"</f>
        <v>CR3503</v>
      </c>
      <c r="C594" s="10" t="s">
        <v>572</v>
      </c>
    </row>
    <row r="595" spans="1:3" s="10" customFormat="1" x14ac:dyDescent="0.25">
      <c r="A595" s="10" t="str">
        <f>"0611861211050"</f>
        <v>0611861211050</v>
      </c>
      <c r="B595" s="10" t="str">
        <f>"CR3504"</f>
        <v>CR3504</v>
      </c>
      <c r="C595" s="10" t="s">
        <v>573</v>
      </c>
    </row>
    <row r="596" spans="1:3" s="10" customFormat="1" x14ac:dyDescent="0.25">
      <c r="A596" s="10" t="str">
        <f>"0611861212050"</f>
        <v>0611861212050</v>
      </c>
      <c r="B596" s="10" t="str">
        <f>"CR3505"</f>
        <v>CR3505</v>
      </c>
      <c r="C596" s="10" t="s">
        <v>574</v>
      </c>
    </row>
    <row r="597" spans="1:3" s="10" customFormat="1" x14ac:dyDescent="0.25">
      <c r="A597" s="10" t="str">
        <f>"0611861213050"</f>
        <v>0611861213050</v>
      </c>
      <c r="B597" s="10" t="str">
        <f>"CR2804"</f>
        <v>CR2804</v>
      </c>
      <c r="C597" s="10" t="s">
        <v>575</v>
      </c>
    </row>
    <row r="598" spans="1:3" s="10" customFormat="1" x14ac:dyDescent="0.25">
      <c r="A598" s="10" t="str">
        <f>"0611861214050"</f>
        <v>0611861214050</v>
      </c>
      <c r="B598" s="10" t="str">
        <f>"CR3856"</f>
        <v>CR3856</v>
      </c>
      <c r="C598" s="10" t="s">
        <v>576</v>
      </c>
    </row>
    <row r="599" spans="1:3" s="10" customFormat="1" x14ac:dyDescent="0.25">
      <c r="A599" s="10" t="str">
        <f>"0611861215050"</f>
        <v>0611861215050</v>
      </c>
      <c r="B599" s="10" t="str">
        <f>"CR5165"</f>
        <v>CR5165</v>
      </c>
      <c r="C599" s="10" t="s">
        <v>577</v>
      </c>
    </row>
    <row r="600" spans="1:3" s="10" customFormat="1" x14ac:dyDescent="0.25">
      <c r="A600" s="10" t="str">
        <f>"0611861216050"</f>
        <v>0611861216050</v>
      </c>
      <c r="B600" s="10" t="str">
        <f>"CR4081"</f>
        <v>CR4081</v>
      </c>
      <c r="C600" s="10" t="s">
        <v>578</v>
      </c>
    </row>
    <row r="601" spans="1:3" s="10" customFormat="1" x14ac:dyDescent="0.25">
      <c r="A601" s="10" t="str">
        <f>"0611861217050"</f>
        <v>0611861217050</v>
      </c>
      <c r="B601" s="10" t="str">
        <f>"CR4940"</f>
        <v>CR4940</v>
      </c>
      <c r="C601" s="10" t="s">
        <v>579</v>
      </c>
    </row>
    <row r="602" spans="1:3" s="10" customFormat="1" x14ac:dyDescent="0.25">
      <c r="A602" s="10" t="str">
        <f>"0611861218050"</f>
        <v>0611861218050</v>
      </c>
      <c r="B602" s="10" t="str">
        <f>"CR2116"</f>
        <v>CR2116</v>
      </c>
      <c r="C602" s="10" t="s">
        <v>580</v>
      </c>
    </row>
    <row r="603" spans="1:3" s="10" customFormat="1" x14ac:dyDescent="0.25">
      <c r="A603" s="10" t="str">
        <f>"0611861219050"</f>
        <v>0611861219050</v>
      </c>
      <c r="B603" s="10" t="str">
        <f>"CR3673"</f>
        <v>CR3673</v>
      </c>
      <c r="C603" s="10" t="s">
        <v>581</v>
      </c>
    </row>
    <row r="604" spans="1:3" s="10" customFormat="1" x14ac:dyDescent="0.25">
      <c r="A604" s="10" t="str">
        <f>"0611861220050"</f>
        <v>0611861220050</v>
      </c>
      <c r="B604" s="10" t="str">
        <f>"CR2118"</f>
        <v>CR2118</v>
      </c>
      <c r="C604" s="10" t="s">
        <v>582</v>
      </c>
    </row>
    <row r="605" spans="1:3" s="10" customFormat="1" x14ac:dyDescent="0.25">
      <c r="A605" s="10" t="str">
        <f>"0611861221050"</f>
        <v>0611861221050</v>
      </c>
      <c r="B605" s="10" t="str">
        <f>"CR3230"</f>
        <v>CR3230</v>
      </c>
      <c r="C605" s="10" t="s">
        <v>583</v>
      </c>
    </row>
    <row r="606" spans="1:3" s="10" customFormat="1" x14ac:dyDescent="0.25">
      <c r="A606" s="10" t="str">
        <f>"0611861222050"</f>
        <v>0611861222050</v>
      </c>
      <c r="B606" s="10" t="str">
        <f>"CR3674"</f>
        <v>CR3674</v>
      </c>
      <c r="C606" s="10" t="s">
        <v>584</v>
      </c>
    </row>
    <row r="607" spans="1:3" s="10" customFormat="1" x14ac:dyDescent="0.25">
      <c r="A607" s="10" t="str">
        <f>"0611861223050"</f>
        <v>0611861223050</v>
      </c>
      <c r="B607" s="10" t="str">
        <f>"CR2806"</f>
        <v>CR2806</v>
      </c>
      <c r="C607" s="10" t="s">
        <v>586</v>
      </c>
    </row>
    <row r="608" spans="1:3" s="10" customFormat="1" x14ac:dyDescent="0.25">
      <c r="A608" s="10" t="str">
        <f>"0611861224050"</f>
        <v>0611861224050</v>
      </c>
      <c r="B608" s="10" t="str">
        <f>"CR3857"</f>
        <v>CR3857</v>
      </c>
      <c r="C608" s="10" t="s">
        <v>587</v>
      </c>
    </row>
    <row r="609" spans="1:3" s="10" customFormat="1" x14ac:dyDescent="0.25">
      <c r="A609" s="10" t="str">
        <f>"0611861225050"</f>
        <v>0611861225050</v>
      </c>
      <c r="B609" s="10" t="str">
        <f>"CR4941"</f>
        <v>CR4941</v>
      </c>
      <c r="C609" s="10" t="s">
        <v>588</v>
      </c>
    </row>
    <row r="610" spans="1:3" s="10" customFormat="1" x14ac:dyDescent="0.25">
      <c r="A610" s="10" t="str">
        <f>"0611861226050"</f>
        <v>0611861226050</v>
      </c>
      <c r="B610" s="10" t="str">
        <f>"CR5038"</f>
        <v>CR5038</v>
      </c>
      <c r="C610" s="10" t="s">
        <v>590</v>
      </c>
    </row>
    <row r="611" spans="1:3" s="10" customFormat="1" x14ac:dyDescent="0.25">
      <c r="A611" s="10" t="str">
        <f>"0611861234050"</f>
        <v>0611861234050</v>
      </c>
      <c r="B611" s="10" t="str">
        <f>"CR2121"</f>
        <v>CR2121</v>
      </c>
      <c r="C611" s="10" t="s">
        <v>591</v>
      </c>
    </row>
    <row r="612" spans="1:3" s="10" customFormat="1" x14ac:dyDescent="0.25">
      <c r="A612" s="10" t="str">
        <f>"0611861227050"</f>
        <v>0611861227050</v>
      </c>
      <c r="B612" s="10" t="str">
        <f>"CR3675"</f>
        <v>CR3675</v>
      </c>
      <c r="C612" s="10" t="s">
        <v>592</v>
      </c>
    </row>
    <row r="613" spans="1:3" s="10" customFormat="1" x14ac:dyDescent="0.25">
      <c r="A613" s="10" t="str">
        <f>"0611861257050"</f>
        <v>0611861257050</v>
      </c>
      <c r="B613" s="10" t="str">
        <f>"CR2123"</f>
        <v>CR2123</v>
      </c>
      <c r="C613" s="10" t="s">
        <v>593</v>
      </c>
    </row>
    <row r="614" spans="1:3" s="10" customFormat="1" x14ac:dyDescent="0.25">
      <c r="A614" s="10" t="str">
        <f>"0611861228050"</f>
        <v>0611861228050</v>
      </c>
      <c r="B614" s="10" t="str">
        <f>"CR3425"</f>
        <v>CR3425</v>
      </c>
      <c r="C614" s="10" t="s">
        <v>594</v>
      </c>
    </row>
    <row r="615" spans="1:3" s="10" customFormat="1" x14ac:dyDescent="0.25">
      <c r="A615" s="10" t="str">
        <f>"0611861229050"</f>
        <v>0611861229050</v>
      </c>
      <c r="B615" s="10" t="str">
        <f>"CR4942"</f>
        <v>CR4942</v>
      </c>
      <c r="C615" s="10" t="s">
        <v>595</v>
      </c>
    </row>
    <row r="616" spans="1:3" s="10" customFormat="1" x14ac:dyDescent="0.25">
      <c r="A616" s="10" t="str">
        <f>"0611861230050"</f>
        <v>0611861230050</v>
      </c>
      <c r="B616" s="10" t="str">
        <f>"CR2124"</f>
        <v>CR2124</v>
      </c>
      <c r="C616" s="10" t="s">
        <v>596</v>
      </c>
    </row>
    <row r="617" spans="1:3" s="10" customFormat="1" x14ac:dyDescent="0.25">
      <c r="A617" s="10" t="str">
        <f>"0611861231050"</f>
        <v>0611861231050</v>
      </c>
      <c r="B617" s="10" t="str">
        <f>"CR4943"</f>
        <v>CR4943</v>
      </c>
      <c r="C617" s="10" t="s">
        <v>597</v>
      </c>
    </row>
    <row r="618" spans="1:3" s="10" customFormat="1" x14ac:dyDescent="0.25">
      <c r="A618" s="10" t="str">
        <f>"0611861232050"</f>
        <v>0611861232050</v>
      </c>
      <c r="B618" s="10" t="str">
        <f>"CR2120"</f>
        <v>CR2120</v>
      </c>
      <c r="C618" s="10" t="s">
        <v>589</v>
      </c>
    </row>
    <row r="619" spans="1:3" s="10" customFormat="1" x14ac:dyDescent="0.25">
      <c r="A619" s="10" t="str">
        <f>"0611861233050"</f>
        <v>0611861233050</v>
      </c>
      <c r="B619" s="10" t="str">
        <f>"CR3508"</f>
        <v>CR3508</v>
      </c>
      <c r="C619" s="10" t="s">
        <v>598</v>
      </c>
    </row>
    <row r="620" spans="1:3" s="10" customFormat="1" x14ac:dyDescent="0.25">
      <c r="A620" s="10" t="str">
        <f>"0611861235050"</f>
        <v>0611861235050</v>
      </c>
      <c r="B620" s="10" t="str">
        <f>"CR2122"</f>
        <v>CR2122</v>
      </c>
      <c r="C620" s="10" t="s">
        <v>599</v>
      </c>
    </row>
    <row r="621" spans="1:3" s="10" customFormat="1" x14ac:dyDescent="0.25">
      <c r="A621" s="10" t="str">
        <f>"0611861256050"</f>
        <v>0611861256050</v>
      </c>
      <c r="B621" s="10" t="str">
        <f>"CR5166"</f>
        <v>CR5166</v>
      </c>
      <c r="C621" s="10" t="s">
        <v>617</v>
      </c>
    </row>
    <row r="622" spans="1:3" s="10" customFormat="1" x14ac:dyDescent="0.25">
      <c r="A622" s="10" t="str">
        <f>"0611861236050"</f>
        <v>0611861236050</v>
      </c>
      <c r="B622" s="10" t="str">
        <f>"CR2106"</f>
        <v>CR2106</v>
      </c>
      <c r="C622" s="10" t="s">
        <v>600</v>
      </c>
    </row>
    <row r="623" spans="1:3" s="10" customFormat="1" x14ac:dyDescent="0.25">
      <c r="A623" s="10" t="str">
        <f>"0611861237050"</f>
        <v>0611861237050</v>
      </c>
      <c r="B623" s="10" t="str">
        <f>"CR2108"</f>
        <v>CR2108</v>
      </c>
      <c r="C623" s="10" t="s">
        <v>601</v>
      </c>
    </row>
    <row r="624" spans="1:3" s="10" customFormat="1" x14ac:dyDescent="0.25">
      <c r="A624" s="10" t="str">
        <f>"0611861238050"</f>
        <v>0611861238050</v>
      </c>
      <c r="B624" s="10" t="str">
        <f>"CR3510"</f>
        <v>CR3510</v>
      </c>
      <c r="C624" s="10" t="s">
        <v>602</v>
      </c>
    </row>
    <row r="625" spans="1:3" s="10" customFormat="1" x14ac:dyDescent="0.25">
      <c r="A625" s="10" t="str">
        <f>"0611861239050"</f>
        <v>0611861239050</v>
      </c>
      <c r="B625" s="10" t="str">
        <f>"CR2109"</f>
        <v>CR2109</v>
      </c>
      <c r="C625" s="10" t="s">
        <v>604</v>
      </c>
    </row>
    <row r="626" spans="1:3" s="10" customFormat="1" x14ac:dyDescent="0.25">
      <c r="A626" s="10" t="str">
        <f>"0611861240050"</f>
        <v>0611861240050</v>
      </c>
      <c r="B626" s="10" t="str">
        <f>"CR3858"</f>
        <v>CR3858</v>
      </c>
      <c r="C626" s="10" t="s">
        <v>603</v>
      </c>
    </row>
    <row r="627" spans="1:3" s="10" customFormat="1" x14ac:dyDescent="0.25">
      <c r="A627" s="10" t="str">
        <f>"0611861241050"</f>
        <v>0611861241050</v>
      </c>
      <c r="B627" s="10" t="str">
        <f>"CR5167"</f>
        <v>CR5167</v>
      </c>
      <c r="C627" s="10" t="s">
        <v>605</v>
      </c>
    </row>
    <row r="628" spans="1:3" s="10" customFormat="1" x14ac:dyDescent="0.25">
      <c r="A628" s="10" t="str">
        <f>"0611861242050"</f>
        <v>0611861242050</v>
      </c>
      <c r="B628" s="10" t="str">
        <f>"CR3511"</f>
        <v>CR3511</v>
      </c>
      <c r="C628" s="10" t="s">
        <v>606</v>
      </c>
    </row>
    <row r="629" spans="1:3" s="10" customFormat="1" x14ac:dyDescent="0.25">
      <c r="A629" s="10" t="str">
        <f>"0611861243050"</f>
        <v>0611861243050</v>
      </c>
      <c r="B629" s="10" t="str">
        <f>"CR2110"</f>
        <v>CR2110</v>
      </c>
      <c r="C629" s="10" t="s">
        <v>607</v>
      </c>
    </row>
    <row r="630" spans="1:3" s="10" customFormat="1" x14ac:dyDescent="0.25">
      <c r="A630" s="10" t="str">
        <f>"0611861244050"</f>
        <v>0611861244050</v>
      </c>
      <c r="B630" s="10" t="str">
        <f>"CR2111"</f>
        <v>CR2111</v>
      </c>
      <c r="C630" s="10" t="s">
        <v>608</v>
      </c>
    </row>
    <row r="631" spans="1:3" s="10" customFormat="1" x14ac:dyDescent="0.25">
      <c r="A631" s="10" t="str">
        <f>"0611861248050"</f>
        <v>0611861248050</v>
      </c>
      <c r="B631" s="10" t="str">
        <f>"CR5068"</f>
        <v>CR5068</v>
      </c>
      <c r="C631" s="10" t="s">
        <v>609</v>
      </c>
    </row>
    <row r="632" spans="1:3" s="10" customFormat="1" x14ac:dyDescent="0.25">
      <c r="A632" s="10" t="str">
        <f>"0611861249050"</f>
        <v>0611861249050</v>
      </c>
      <c r="B632" s="10" t="str">
        <f>"CR3676"</f>
        <v>CR3676</v>
      </c>
      <c r="C632" s="10" t="s">
        <v>610</v>
      </c>
    </row>
    <row r="633" spans="1:3" s="10" customFormat="1" x14ac:dyDescent="0.25">
      <c r="A633" s="10" t="str">
        <f>"0611861250050"</f>
        <v>0611861250050</v>
      </c>
      <c r="B633" s="10" t="str">
        <f>"CR2113"</f>
        <v>CR2113</v>
      </c>
      <c r="C633" s="10" t="s">
        <v>611</v>
      </c>
    </row>
    <row r="634" spans="1:3" s="10" customFormat="1" x14ac:dyDescent="0.25">
      <c r="A634" s="10" t="str">
        <f>"0611861251050"</f>
        <v>0611861251050</v>
      </c>
      <c r="B634" s="10" t="str">
        <f>"CR3512"</f>
        <v>CR3512</v>
      </c>
      <c r="C634" s="10" t="s">
        <v>612</v>
      </c>
    </row>
    <row r="635" spans="1:3" s="10" customFormat="1" x14ac:dyDescent="0.25">
      <c r="A635" s="10" t="str">
        <f>"0611861252050"</f>
        <v>0611861252050</v>
      </c>
      <c r="B635" s="10" t="str">
        <f>"CR2114"</f>
        <v>CR2114</v>
      </c>
      <c r="C635" s="10" t="s">
        <v>613</v>
      </c>
    </row>
    <row r="636" spans="1:3" s="10" customFormat="1" x14ac:dyDescent="0.25">
      <c r="A636" s="10" t="str">
        <f>"0611861253050"</f>
        <v>0611861253050</v>
      </c>
      <c r="B636" s="10" t="str">
        <f>"CR2809"</f>
        <v>CR2809</v>
      </c>
      <c r="C636" s="10" t="s">
        <v>614</v>
      </c>
    </row>
    <row r="637" spans="1:3" s="10" customFormat="1" x14ac:dyDescent="0.25">
      <c r="A637" s="10" t="str">
        <f>"0611861254050"</f>
        <v>0611861254050</v>
      </c>
      <c r="B637" s="10" t="str">
        <f>"CR2115"</f>
        <v>CR2115</v>
      </c>
      <c r="C637" s="10" t="s">
        <v>615</v>
      </c>
    </row>
    <row r="638" spans="1:3" s="10" customFormat="1" x14ac:dyDescent="0.25">
      <c r="A638" s="10" t="str">
        <f>"0611861255050"</f>
        <v>0611861255050</v>
      </c>
      <c r="B638" s="10" t="str">
        <f>"CR4104"</f>
        <v>CR4104</v>
      </c>
      <c r="C638" s="10" t="s">
        <v>616</v>
      </c>
    </row>
    <row r="639" spans="1:3" s="10" customFormat="1" x14ac:dyDescent="0.25">
      <c r="A639" s="10" t="str">
        <f>"0611861258050"</f>
        <v>0611861258050</v>
      </c>
      <c r="B639" s="10" t="str">
        <f>"CR3441"</f>
        <v>CR3441</v>
      </c>
      <c r="C639" s="10" t="s">
        <v>618</v>
      </c>
    </row>
    <row r="640" spans="1:3" s="10" customFormat="1" x14ac:dyDescent="0.25">
      <c r="A640" s="10" t="str">
        <f>"0611861259050"</f>
        <v>0611861259050</v>
      </c>
      <c r="B640" s="10" t="str">
        <f>"CR3513"</f>
        <v>CR3513</v>
      </c>
      <c r="C640" s="10" t="s">
        <v>619</v>
      </c>
    </row>
    <row r="641" spans="1:3" s="10" customFormat="1" x14ac:dyDescent="0.25">
      <c r="A641" s="10" t="str">
        <f>"0611861260050"</f>
        <v>0611861260050</v>
      </c>
      <c r="B641" s="10" t="str">
        <f>"CR3514"</f>
        <v>CR3514</v>
      </c>
      <c r="C641" s="10" t="s">
        <v>620</v>
      </c>
    </row>
    <row r="642" spans="1:3" s="10" customFormat="1" x14ac:dyDescent="0.25">
      <c r="A642" s="10" t="str">
        <f>"0611861261050"</f>
        <v>0611861261050</v>
      </c>
      <c r="B642" s="10" t="str">
        <f>"CR3445"</f>
        <v>CR3445</v>
      </c>
      <c r="C642" s="10" t="s">
        <v>621</v>
      </c>
    </row>
    <row r="643" spans="1:3" s="10" customFormat="1" x14ac:dyDescent="0.25">
      <c r="A643" s="10" t="str">
        <f>"0611860397050"</f>
        <v>0611860397050</v>
      </c>
      <c r="B643" s="10" t="str">
        <f>"CR4297"</f>
        <v>CR4297</v>
      </c>
      <c r="C643" s="10" t="s">
        <v>622</v>
      </c>
    </row>
    <row r="644" spans="1:3" s="10" customFormat="1" x14ac:dyDescent="0.25">
      <c r="A644" s="10" t="str">
        <f>"0611860454050"</f>
        <v>0611860454050</v>
      </c>
      <c r="B644" s="10" t="str">
        <f>"CR4291"</f>
        <v>CR4291</v>
      </c>
      <c r="C644" s="10" t="s">
        <v>623</v>
      </c>
    </row>
    <row r="645" spans="1:3" s="10" customFormat="1" x14ac:dyDescent="0.25">
      <c r="A645" s="10" t="str">
        <f>"0611862076050"</f>
        <v>0611862076050</v>
      </c>
      <c r="B645" s="10" t="str">
        <f>"CR3887"</f>
        <v>CR3887</v>
      </c>
      <c r="C645" s="10" t="s">
        <v>624</v>
      </c>
    </row>
    <row r="646" spans="1:3" s="10" customFormat="1" x14ac:dyDescent="0.25">
      <c r="A646" s="10" t="str">
        <f>"0611862077050"</f>
        <v>0611862077050</v>
      </c>
      <c r="B646" s="10" t="str">
        <f>"CR4299"</f>
        <v>CR4299</v>
      </c>
      <c r="C646" s="10" t="s">
        <v>625</v>
      </c>
    </row>
    <row r="647" spans="1:3" s="10" customFormat="1" x14ac:dyDescent="0.25">
      <c r="A647" s="10" t="str">
        <f>"0611862078050"</f>
        <v>0611862078050</v>
      </c>
      <c r="B647" s="10" t="str">
        <f>"CR4292"</f>
        <v>CR4292</v>
      </c>
      <c r="C647" s="10" t="s">
        <v>626</v>
      </c>
    </row>
    <row r="648" spans="1:3" s="10" customFormat="1" x14ac:dyDescent="0.25">
      <c r="A648" s="10" t="str">
        <f>"0611862079050"</f>
        <v>0611862079050</v>
      </c>
      <c r="B648" s="10" t="str">
        <f>"CR4300"</f>
        <v>CR4300</v>
      </c>
      <c r="C648" s="10" t="s">
        <v>627</v>
      </c>
    </row>
    <row r="649" spans="1:3" s="10" customFormat="1" x14ac:dyDescent="0.25">
      <c r="A649" s="10" t="str">
        <f>"0611862080050"</f>
        <v>0611862080050</v>
      </c>
      <c r="B649" s="10" t="str">
        <f>"CR3988"</f>
        <v>CR3988</v>
      </c>
      <c r="C649" s="10" t="s">
        <v>628</v>
      </c>
    </row>
    <row r="650" spans="1:3" s="10" customFormat="1" x14ac:dyDescent="0.25">
      <c r="A650" s="10" t="str">
        <f>"0611861264050"</f>
        <v>0611861264050</v>
      </c>
      <c r="B650" s="10" t="str">
        <f>"CR4298"</f>
        <v>CR4298</v>
      </c>
      <c r="C650" s="10" t="s">
        <v>629</v>
      </c>
    </row>
    <row r="651" spans="1:3" s="10" customFormat="1" x14ac:dyDescent="0.25">
      <c r="A651" s="10" t="str">
        <f>"0611862081050"</f>
        <v>0611862081050</v>
      </c>
      <c r="B651" s="10" t="str">
        <f>"CR4301"</f>
        <v>CR4301</v>
      </c>
      <c r="C651" s="10" t="s">
        <v>630</v>
      </c>
    </row>
    <row r="652" spans="1:3" s="10" customFormat="1" x14ac:dyDescent="0.25">
      <c r="A652" s="10" t="str">
        <f>"0611862082050"</f>
        <v>0611862082050</v>
      </c>
      <c r="B652" s="10" t="str">
        <f>"CR4293"</f>
        <v>CR4293</v>
      </c>
      <c r="C652" s="10" t="s">
        <v>631</v>
      </c>
    </row>
    <row r="653" spans="1:3" s="10" customFormat="1" x14ac:dyDescent="0.25">
      <c r="A653" s="10" t="str">
        <f>"0611861453050"</f>
        <v>0611861453050</v>
      </c>
      <c r="B653" s="10" t="str">
        <f>"CR4302"</f>
        <v>CR4302</v>
      </c>
      <c r="C653" s="10" t="s">
        <v>632</v>
      </c>
    </row>
    <row r="654" spans="1:3" s="10" customFormat="1" x14ac:dyDescent="0.25">
      <c r="A654" s="10" t="str">
        <f>"0611862083050"</f>
        <v>0611862083050</v>
      </c>
      <c r="B654" s="10" t="str">
        <f>"CR4303"</f>
        <v>CR4303</v>
      </c>
      <c r="C654" s="10" t="s">
        <v>633</v>
      </c>
    </row>
    <row r="655" spans="1:3" s="10" customFormat="1" x14ac:dyDescent="0.25">
      <c r="A655" s="10" t="str">
        <f>"0611862084050"</f>
        <v>0611862084050</v>
      </c>
      <c r="B655" s="10" t="str">
        <f>"CR4294"</f>
        <v>CR4294</v>
      </c>
      <c r="C655" s="10" t="s">
        <v>634</v>
      </c>
    </row>
    <row r="656" spans="1:3" s="10" customFormat="1" x14ac:dyDescent="0.25">
      <c r="A656" s="10" t="str">
        <f>"0611862085050"</f>
        <v>0611862085050</v>
      </c>
      <c r="B656" s="10" t="str">
        <f>"CR4295"</f>
        <v>CR4295</v>
      </c>
      <c r="C656" s="10" t="s">
        <v>635</v>
      </c>
    </row>
    <row r="657" spans="1:3" s="10" customFormat="1" x14ac:dyDescent="0.25">
      <c r="A657" s="10" t="str">
        <f>"0611862086050"</f>
        <v>0611862086050</v>
      </c>
      <c r="B657" s="10" t="str">
        <f>"CR4304"</f>
        <v>CR4304</v>
      </c>
      <c r="C657" s="10" t="s">
        <v>636</v>
      </c>
    </row>
    <row r="658" spans="1:3" s="10" customFormat="1" x14ac:dyDescent="0.25">
      <c r="A658" s="10" t="str">
        <f>"0611862087050"</f>
        <v>0611862087050</v>
      </c>
      <c r="B658" s="10" t="str">
        <f>"CR3888"</f>
        <v>CR3888</v>
      </c>
      <c r="C658" s="10" t="s">
        <v>637</v>
      </c>
    </row>
    <row r="659" spans="1:3" s="10" customFormat="1" x14ac:dyDescent="0.25">
      <c r="A659" s="10" t="str">
        <f>"0611862088050"</f>
        <v>0611862088050</v>
      </c>
      <c r="B659" s="10" t="str">
        <f>"CR4305"</f>
        <v>CR4305</v>
      </c>
      <c r="C659" s="10" t="s">
        <v>638</v>
      </c>
    </row>
    <row r="660" spans="1:3" s="10" customFormat="1" x14ac:dyDescent="0.25">
      <c r="A660" s="10" t="str">
        <f>"0611862089050"</f>
        <v>0611862089050</v>
      </c>
      <c r="B660" s="10" t="str">
        <f>"CR4296"</f>
        <v>CR4296</v>
      </c>
      <c r="C660" s="10" t="s">
        <v>639</v>
      </c>
    </row>
    <row r="661" spans="1:3" s="10" customFormat="1" x14ac:dyDescent="0.25">
      <c r="A661" s="10" t="str">
        <f>"0611862090050"</f>
        <v>0611862090050</v>
      </c>
      <c r="B661" s="10" t="str">
        <f>"CR3885"</f>
        <v>CR3885</v>
      </c>
      <c r="C661" s="10" t="s">
        <v>640</v>
      </c>
    </row>
    <row r="662" spans="1:3" s="10" customFormat="1" x14ac:dyDescent="0.25">
      <c r="A662" s="10" t="str">
        <f>"0611862091050"</f>
        <v>0611862091050</v>
      </c>
      <c r="B662" s="10" t="str">
        <f>"CR4306"</f>
        <v>CR4306</v>
      </c>
      <c r="C662" s="10" t="s">
        <v>641</v>
      </c>
    </row>
    <row r="663" spans="1:3" s="10" customFormat="1" x14ac:dyDescent="0.25">
      <c r="A663" s="10" t="str">
        <f>"0611884121050"</f>
        <v>0611884121050</v>
      </c>
      <c r="B663" s="10" t="str">
        <f>"CR5393"</f>
        <v>CR5393</v>
      </c>
      <c r="C663" s="10" t="s">
        <v>642</v>
      </c>
    </row>
    <row r="664" spans="1:3" s="10" customFormat="1" x14ac:dyDescent="0.25">
      <c r="A664" s="10" t="str">
        <f>"0611861262050"</f>
        <v>0611861262050</v>
      </c>
      <c r="B664" s="10" t="str">
        <f>"CR3986"</f>
        <v>CR3986</v>
      </c>
      <c r="C664" s="10" t="s">
        <v>643</v>
      </c>
    </row>
    <row r="665" spans="1:3" s="10" customFormat="1" x14ac:dyDescent="0.25">
      <c r="A665" s="10" t="str">
        <f>"0611861263050"</f>
        <v>0611861263050</v>
      </c>
      <c r="B665" s="10" t="str">
        <f>"CR4089"</f>
        <v>CR4089</v>
      </c>
      <c r="C665" s="10" t="s">
        <v>644</v>
      </c>
    </row>
    <row r="666" spans="1:3" s="10" customFormat="1" x14ac:dyDescent="0.25">
      <c r="A666" s="10" t="str">
        <f>"0611906543050"</f>
        <v>0611906543050</v>
      </c>
      <c r="B666" s="10" t="str">
        <f>"CR5471"</f>
        <v>CR5471</v>
      </c>
      <c r="C666" s="10" t="s">
        <v>652</v>
      </c>
    </row>
    <row r="667" spans="1:3" s="10" customFormat="1" x14ac:dyDescent="0.25">
      <c r="A667" s="10" t="str">
        <f>"0611906544050"</f>
        <v>0611906544050</v>
      </c>
      <c r="B667" s="10" t="str">
        <f>"CR5473"</f>
        <v>CR5473</v>
      </c>
      <c r="C667" s="10" t="s">
        <v>658</v>
      </c>
    </row>
    <row r="668" spans="1:3" s="10" customFormat="1" x14ac:dyDescent="0.25">
      <c r="A668" s="10" t="str">
        <f>"0611906545050"</f>
        <v>0611906545050</v>
      </c>
      <c r="B668" s="10" t="str">
        <f>"CR5474"</f>
        <v>CR5474</v>
      </c>
      <c r="C668" s="10" t="s">
        <v>662</v>
      </c>
    </row>
    <row r="669" spans="1:3" s="10" customFormat="1" x14ac:dyDescent="0.25">
      <c r="A669" s="10" t="str">
        <f>"0611906546050"</f>
        <v>0611906546050</v>
      </c>
      <c r="B669" s="10" t="str">
        <f>"CR5483"</f>
        <v>CR5483</v>
      </c>
      <c r="C669" s="10" t="s">
        <v>685</v>
      </c>
    </row>
    <row r="670" spans="1:3" s="10" customFormat="1" x14ac:dyDescent="0.25">
      <c r="A670" s="10" t="str">
        <f>"0611884078050"</f>
        <v>0611884078050</v>
      </c>
      <c r="B670" s="10" t="str">
        <f>"CR5268"</f>
        <v>CR5268</v>
      </c>
      <c r="C670" s="10" t="s">
        <v>669</v>
      </c>
    </row>
    <row r="671" spans="1:3" s="10" customFormat="1" x14ac:dyDescent="0.25">
      <c r="A671" s="10" t="str">
        <f>"0611906547050"</f>
        <v>0611906547050</v>
      </c>
      <c r="B671" s="10" t="str">
        <f>"CR5465"</f>
        <v>CR5465</v>
      </c>
      <c r="C671" s="10" t="s">
        <v>718</v>
      </c>
    </row>
    <row r="672" spans="1:3" s="10" customFormat="1" x14ac:dyDescent="0.25">
      <c r="A672" s="10" t="str">
        <f>"0611906548050"</f>
        <v>0611906548050</v>
      </c>
      <c r="B672" s="10" t="str">
        <f>"CR5478"</f>
        <v>CR5478</v>
      </c>
      <c r="C672" s="10" t="s">
        <v>719</v>
      </c>
    </row>
    <row r="673" spans="1:3" s="10" customFormat="1" x14ac:dyDescent="0.25">
      <c r="A673" s="10" t="str">
        <f>"0611861312050"</f>
        <v>0611861312050</v>
      </c>
      <c r="B673" s="10" t="str">
        <f>"CR4762"</f>
        <v>CR4762</v>
      </c>
      <c r="C673" s="10" t="s">
        <v>645</v>
      </c>
    </row>
    <row r="674" spans="1:3" s="10" customFormat="1" x14ac:dyDescent="0.25">
      <c r="A674" s="10" t="str">
        <f>"0611861345050"</f>
        <v>0611861345050</v>
      </c>
      <c r="B674" s="10" t="str">
        <f>"CR4798"</f>
        <v>CR4798</v>
      </c>
      <c r="C674" s="10" t="s">
        <v>646</v>
      </c>
    </row>
    <row r="675" spans="1:3" s="10" customFormat="1" x14ac:dyDescent="0.25">
      <c r="A675" s="10" t="str">
        <f>"0611861276050"</f>
        <v>0611861276050</v>
      </c>
      <c r="B675" s="10" t="str">
        <f>"CR3050"</f>
        <v>CR3050</v>
      </c>
      <c r="C675" s="10" t="s">
        <v>647</v>
      </c>
    </row>
    <row r="676" spans="1:3" s="10" customFormat="1" x14ac:dyDescent="0.25">
      <c r="A676" s="10" t="str">
        <f>"0611861346050"</f>
        <v>0611861346050</v>
      </c>
      <c r="B676" s="10" t="str">
        <f>"CR2133"</f>
        <v>CR2133</v>
      </c>
      <c r="C676" s="10" t="s">
        <v>648</v>
      </c>
    </row>
    <row r="677" spans="1:3" s="10" customFormat="1" x14ac:dyDescent="0.25">
      <c r="A677" s="10" t="str">
        <f>"0611861289050"</f>
        <v>0611861289050</v>
      </c>
      <c r="B677" s="10" t="str">
        <f>"CR4945"</f>
        <v>CR4945</v>
      </c>
      <c r="C677" s="10" t="s">
        <v>649</v>
      </c>
    </row>
    <row r="678" spans="1:3" s="10" customFormat="1" x14ac:dyDescent="0.25">
      <c r="A678" s="10" t="str">
        <f>"0611861277050"</f>
        <v>0611861277050</v>
      </c>
      <c r="B678" s="10" t="str">
        <f>"CR3758"</f>
        <v>CR3758</v>
      </c>
      <c r="C678" s="10" t="s">
        <v>650</v>
      </c>
    </row>
    <row r="679" spans="1:3" s="10" customFormat="1" x14ac:dyDescent="0.25">
      <c r="A679" s="10" t="str">
        <f>"0611861347050"</f>
        <v>0611861347050</v>
      </c>
      <c r="B679" s="10" t="str">
        <f>"CR2135"</f>
        <v>CR2135</v>
      </c>
      <c r="C679" s="10" t="s">
        <v>653</v>
      </c>
    </row>
    <row r="680" spans="1:3" s="10" customFormat="1" x14ac:dyDescent="0.25">
      <c r="A680" s="10" t="str">
        <f>"0611861278050"</f>
        <v>0611861278050</v>
      </c>
      <c r="B680" s="10" t="str">
        <f>"CR2134"</f>
        <v>CR2134</v>
      </c>
      <c r="C680" s="10" t="s">
        <v>654</v>
      </c>
    </row>
    <row r="681" spans="1:3" s="10" customFormat="1" x14ac:dyDescent="0.25">
      <c r="A681" s="10" t="str">
        <f>"0611893554050"</f>
        <v>0611893554050</v>
      </c>
      <c r="B681" s="10" t="str">
        <f>"CR3366"</f>
        <v>CR3366</v>
      </c>
      <c r="C681" s="10" t="s">
        <v>655</v>
      </c>
    </row>
    <row r="682" spans="1:3" s="10" customFormat="1" x14ac:dyDescent="0.25">
      <c r="A682" s="10" t="str">
        <f>"0611861280050"</f>
        <v>0611861280050</v>
      </c>
      <c r="B682" s="10" t="str">
        <f>"CR2136"</f>
        <v>CR2136</v>
      </c>
      <c r="C682" s="10" t="s">
        <v>656</v>
      </c>
    </row>
    <row r="683" spans="1:3" s="10" customFormat="1" x14ac:dyDescent="0.25">
      <c r="A683" s="10" t="str">
        <f>"0611861283050"</f>
        <v>0611861283050</v>
      </c>
      <c r="B683" s="10" t="str">
        <f>"CR3760"</f>
        <v>CR3760</v>
      </c>
      <c r="C683" s="10" t="s">
        <v>667</v>
      </c>
    </row>
    <row r="684" spans="1:3" s="10" customFormat="1" x14ac:dyDescent="0.25">
      <c r="A684" s="10" t="str">
        <f>"0611861284050"</f>
        <v>0611861284050</v>
      </c>
      <c r="B684" s="10" t="str">
        <f>"CR4768"</f>
        <v>CR4768</v>
      </c>
      <c r="C684" s="10" t="s">
        <v>659</v>
      </c>
    </row>
    <row r="685" spans="1:3" s="10" customFormat="1" x14ac:dyDescent="0.25">
      <c r="A685" s="10" t="str">
        <f>"0611861285050"</f>
        <v>0611861285050</v>
      </c>
      <c r="B685" s="10" t="str">
        <f>"CR3418"</f>
        <v>CR3418</v>
      </c>
      <c r="C685" s="10" t="s">
        <v>660</v>
      </c>
    </row>
    <row r="686" spans="1:3" s="10" customFormat="1" x14ac:dyDescent="0.25">
      <c r="A686" s="10" t="str">
        <f>"0611861286050"</f>
        <v>0611861286050</v>
      </c>
      <c r="B686" s="10" t="str">
        <f>"CR5172"</f>
        <v>CR5172</v>
      </c>
      <c r="C686" s="10" t="s">
        <v>661</v>
      </c>
    </row>
    <row r="687" spans="1:3" s="10" customFormat="1" x14ac:dyDescent="0.25">
      <c r="A687" s="10" t="str">
        <f>"0611893555050"</f>
        <v>0611893555050</v>
      </c>
      <c r="B687" s="10" t="str">
        <f>"CR3592"</f>
        <v>CR3592</v>
      </c>
      <c r="C687" s="10" t="s">
        <v>663</v>
      </c>
    </row>
    <row r="688" spans="1:3" s="10" customFormat="1" x14ac:dyDescent="0.25">
      <c r="A688" s="10" t="str">
        <f>"0611861348050"</f>
        <v>0611861348050</v>
      </c>
      <c r="B688" s="10" t="str">
        <f>"CR3037"</f>
        <v>CR3037</v>
      </c>
      <c r="C688" s="10" t="s">
        <v>651</v>
      </c>
    </row>
    <row r="689" spans="1:3" s="10" customFormat="1" x14ac:dyDescent="0.25">
      <c r="A689" s="10" t="str">
        <f>"0611861355050"</f>
        <v>0611861355050</v>
      </c>
      <c r="B689" s="10" t="str">
        <f>"CR3038"</f>
        <v>CR3038</v>
      </c>
      <c r="C689" s="10" t="s">
        <v>657</v>
      </c>
    </row>
    <row r="690" spans="1:3" s="10" customFormat="1" x14ac:dyDescent="0.25">
      <c r="A690" s="10" t="str">
        <f>"0611861281050"</f>
        <v>0611861281050</v>
      </c>
      <c r="B690" s="10" t="str">
        <f>"CR3759"</f>
        <v>CR3759</v>
      </c>
      <c r="C690" s="10" t="s">
        <v>664</v>
      </c>
    </row>
    <row r="691" spans="1:3" s="10" customFormat="1" x14ac:dyDescent="0.25">
      <c r="A691" s="10" t="str">
        <f>"0611861282050"</f>
        <v>0611861282050</v>
      </c>
      <c r="B691" s="10" t="str">
        <f>"CR5173"</f>
        <v>CR5173</v>
      </c>
      <c r="C691" s="10" t="s">
        <v>665</v>
      </c>
    </row>
    <row r="692" spans="1:3" s="10" customFormat="1" x14ac:dyDescent="0.25">
      <c r="A692" s="10" t="str">
        <f>"0611861265050"</f>
        <v>0611861265050</v>
      </c>
      <c r="B692" s="10" t="str">
        <f>"CR4088"</f>
        <v>CR4088</v>
      </c>
      <c r="C692" s="10" t="s">
        <v>670</v>
      </c>
    </row>
    <row r="693" spans="1:3" s="10" customFormat="1" x14ac:dyDescent="0.25">
      <c r="A693" s="10" t="str">
        <f>"0611861266050"</f>
        <v>0611861266050</v>
      </c>
      <c r="B693" s="10" t="str">
        <f>"CR3413"</f>
        <v>CR3413</v>
      </c>
      <c r="C693" s="10" t="s">
        <v>671</v>
      </c>
    </row>
    <row r="694" spans="1:3" s="10" customFormat="1" x14ac:dyDescent="0.25">
      <c r="A694" s="10" t="str">
        <f>"0611861428050"</f>
        <v>0611861428050</v>
      </c>
      <c r="B694" s="10" t="str">
        <f>"CR3036"</f>
        <v>CR3036</v>
      </c>
      <c r="C694" s="10" t="s">
        <v>672</v>
      </c>
    </row>
    <row r="695" spans="1:3" s="10" customFormat="1" x14ac:dyDescent="0.25">
      <c r="A695" s="10" t="str">
        <f>"0611861429050"</f>
        <v>0611861429050</v>
      </c>
      <c r="B695" s="10" t="str">
        <f>"CR2149"</f>
        <v>CR2149</v>
      </c>
      <c r="C695" s="10" t="s">
        <v>673</v>
      </c>
    </row>
    <row r="696" spans="1:3" s="10" customFormat="1" x14ac:dyDescent="0.25">
      <c r="A696" s="10" t="str">
        <f>"0611861430050"</f>
        <v>0611861430050</v>
      </c>
      <c r="B696" s="10" t="str">
        <f>"CR3420"</f>
        <v>CR3420</v>
      </c>
      <c r="C696" s="10" t="s">
        <v>674</v>
      </c>
    </row>
    <row r="697" spans="1:3" s="10" customFormat="1" x14ac:dyDescent="0.25">
      <c r="A697" s="10" t="str">
        <f>"0611861431050"</f>
        <v>0611861431050</v>
      </c>
      <c r="B697" s="10" t="str">
        <f>"CR2150"</f>
        <v>CR2150</v>
      </c>
      <c r="C697" s="10" t="s">
        <v>675</v>
      </c>
    </row>
    <row r="698" spans="1:3" s="10" customFormat="1" x14ac:dyDescent="0.25">
      <c r="A698" s="10" t="str">
        <f>"0611861433050"</f>
        <v>0611861433050</v>
      </c>
      <c r="B698" s="10" t="str">
        <f>"CR2152"</f>
        <v>CR2152</v>
      </c>
      <c r="C698" s="10" t="s">
        <v>676</v>
      </c>
    </row>
    <row r="699" spans="1:3" s="10" customFormat="1" x14ac:dyDescent="0.25">
      <c r="A699" s="10" t="str">
        <f>"0611893556050"</f>
        <v>0611893556050</v>
      </c>
      <c r="B699" s="10" t="str">
        <f>"CR4126"</f>
        <v>CR4126</v>
      </c>
      <c r="C699" s="10" t="s">
        <v>677</v>
      </c>
    </row>
    <row r="700" spans="1:3" s="10" customFormat="1" x14ac:dyDescent="0.25">
      <c r="A700" s="10" t="str">
        <f>"0611861313050"</f>
        <v>0611861313050</v>
      </c>
      <c r="B700" s="10" t="str">
        <f>"CR3284"</f>
        <v>CR3284</v>
      </c>
      <c r="C700" s="10" t="s">
        <v>678</v>
      </c>
    </row>
    <row r="701" spans="1:3" s="10" customFormat="1" x14ac:dyDescent="0.25">
      <c r="A701" s="10" t="str">
        <f>"0611861314050"</f>
        <v>0611861314050</v>
      </c>
      <c r="B701" s="10" t="str">
        <f>"CR3414"</f>
        <v>CR3414</v>
      </c>
      <c r="C701" s="10" t="s">
        <v>679</v>
      </c>
    </row>
    <row r="702" spans="1:3" s="10" customFormat="1" x14ac:dyDescent="0.25">
      <c r="A702" s="10" t="str">
        <f>"0611861315050"</f>
        <v>0611861315050</v>
      </c>
      <c r="B702" s="10" t="str">
        <f>"CR3416"</f>
        <v>CR3416</v>
      </c>
      <c r="C702" s="10" t="s">
        <v>680</v>
      </c>
    </row>
    <row r="703" spans="1:3" s="10" customFormat="1" x14ac:dyDescent="0.25">
      <c r="A703" s="10" t="str">
        <f>"0611861361050"</f>
        <v>0611861361050</v>
      </c>
      <c r="B703" s="10" t="str">
        <f>"CR3035"</f>
        <v>CR3035</v>
      </c>
      <c r="C703" s="10" t="s">
        <v>681</v>
      </c>
    </row>
    <row r="704" spans="1:3" s="10" customFormat="1" x14ac:dyDescent="0.25">
      <c r="A704" s="10" t="str">
        <f>"0611861378050"</f>
        <v>0611861378050</v>
      </c>
      <c r="B704" s="10" t="str">
        <f>"CR3415"</f>
        <v>CR3415</v>
      </c>
      <c r="C704" s="10" t="s">
        <v>682</v>
      </c>
    </row>
    <row r="705" spans="1:3" s="10" customFormat="1" x14ac:dyDescent="0.25">
      <c r="A705" s="10" t="str">
        <f>"0611861296050"</f>
        <v>0611861296050</v>
      </c>
      <c r="B705" s="10" t="str">
        <f>"CR5025"</f>
        <v>CR5025</v>
      </c>
      <c r="C705" s="10" t="s">
        <v>683</v>
      </c>
    </row>
    <row r="706" spans="1:3" s="10" customFormat="1" x14ac:dyDescent="0.25">
      <c r="A706" s="10" t="str">
        <f>"0611884124050"</f>
        <v>0611884124050</v>
      </c>
      <c r="B706" s="10" t="str">
        <f>"CR5402"</f>
        <v>CR5402</v>
      </c>
      <c r="C706" s="10" t="s">
        <v>686</v>
      </c>
    </row>
    <row r="707" spans="1:3" s="10" customFormat="1" x14ac:dyDescent="0.25">
      <c r="A707" s="10" t="str">
        <f>"0611893557050"</f>
        <v>0611893557050</v>
      </c>
      <c r="B707" s="10" t="str">
        <f>"CR5449"</f>
        <v>CR5449</v>
      </c>
      <c r="C707" s="10" t="s">
        <v>687</v>
      </c>
    </row>
    <row r="708" spans="1:3" s="10" customFormat="1" x14ac:dyDescent="0.25">
      <c r="A708" s="10" t="str">
        <f>"0611884125050"</f>
        <v>0611884125050</v>
      </c>
      <c r="B708" s="10" t="str">
        <f>"CR5375"</f>
        <v>CR5375</v>
      </c>
      <c r="C708" s="10" t="s">
        <v>688</v>
      </c>
    </row>
    <row r="709" spans="1:3" s="10" customFormat="1" x14ac:dyDescent="0.25">
      <c r="A709" s="10" t="str">
        <f>"0611884126050"</f>
        <v>0611884126050</v>
      </c>
      <c r="B709" s="10" t="str">
        <f>"CR5325"</f>
        <v>CR5325</v>
      </c>
      <c r="C709" s="10" t="s">
        <v>689</v>
      </c>
    </row>
    <row r="710" spans="1:3" s="10" customFormat="1" x14ac:dyDescent="0.25">
      <c r="A710" s="10" t="str">
        <f>"0611884077050"</f>
        <v>0611884077050</v>
      </c>
      <c r="B710" s="10" t="str">
        <f>"CR5267"</f>
        <v>CR5267</v>
      </c>
      <c r="C710" s="10" t="s">
        <v>668</v>
      </c>
    </row>
    <row r="711" spans="1:3" s="10" customFormat="1" x14ac:dyDescent="0.25">
      <c r="A711" s="10" t="str">
        <f>"0611884127050"</f>
        <v>0611884127050</v>
      </c>
      <c r="B711" s="10" t="str">
        <f>"CR5269"</f>
        <v>CR5269</v>
      </c>
      <c r="C711" s="10" t="s">
        <v>690</v>
      </c>
    </row>
    <row r="712" spans="1:3" s="10" customFormat="1" x14ac:dyDescent="0.25">
      <c r="A712" s="10" t="str">
        <f>"0611861290050"</f>
        <v>0611861290050</v>
      </c>
      <c r="B712" s="10" t="str">
        <f>"CR5168"</f>
        <v>CR5168</v>
      </c>
      <c r="C712" s="10" t="s">
        <v>691</v>
      </c>
    </row>
    <row r="713" spans="1:3" s="10" customFormat="1" x14ac:dyDescent="0.25">
      <c r="A713" s="10" t="str">
        <f>"0611861292050"</f>
        <v>0611861292050</v>
      </c>
      <c r="B713" s="10" t="str">
        <f>"CR5170"</f>
        <v>CR5170</v>
      </c>
      <c r="C713" s="10" t="s">
        <v>692</v>
      </c>
    </row>
    <row r="714" spans="1:3" s="10" customFormat="1" x14ac:dyDescent="0.25">
      <c r="A714" s="10" t="str">
        <f>"0611861293050"</f>
        <v>0611861293050</v>
      </c>
      <c r="B714" s="10" t="str">
        <f>"CR5171"</f>
        <v>CR5171</v>
      </c>
      <c r="C714" s="10" t="s">
        <v>693</v>
      </c>
    </row>
    <row r="715" spans="1:3" s="10" customFormat="1" x14ac:dyDescent="0.25">
      <c r="A715" s="10" t="str">
        <f>"0611861295050"</f>
        <v>0611861295050</v>
      </c>
      <c r="B715" s="10" t="str">
        <f>"CR4127"</f>
        <v>CR4127</v>
      </c>
      <c r="C715" s="10" t="s">
        <v>684</v>
      </c>
    </row>
    <row r="716" spans="1:3" s="10" customFormat="1" x14ac:dyDescent="0.25">
      <c r="A716" s="10" t="str">
        <f>"0611861426050"</f>
        <v>0611861426050</v>
      </c>
      <c r="B716" s="10" t="str">
        <f>"CR3985"</f>
        <v>CR3985</v>
      </c>
      <c r="C716" s="10" t="s">
        <v>843</v>
      </c>
    </row>
    <row r="717" spans="1:3" s="10" customFormat="1" x14ac:dyDescent="0.25">
      <c r="A717" s="10" t="str">
        <f>"0611861401050"</f>
        <v>0611861401050</v>
      </c>
      <c r="B717" s="10" t="str">
        <f>"CR3877"</f>
        <v>CR3877</v>
      </c>
      <c r="C717" s="10" t="s">
        <v>766</v>
      </c>
    </row>
    <row r="718" spans="1:3" s="10" customFormat="1" x14ac:dyDescent="0.25">
      <c r="A718" s="10" t="str">
        <f>"0611861316050"</f>
        <v>0611861316050</v>
      </c>
      <c r="B718" s="10" t="str">
        <f>"CR3417"</f>
        <v>CR3417</v>
      </c>
      <c r="C718" s="10" t="s">
        <v>694</v>
      </c>
    </row>
    <row r="719" spans="1:3" s="10" customFormat="1" x14ac:dyDescent="0.25">
      <c r="A719" s="10" t="str">
        <f>"0611861317050"</f>
        <v>0611861317050</v>
      </c>
      <c r="B719" s="10" t="str">
        <f>"CR2126"</f>
        <v>CR2126</v>
      </c>
      <c r="C719" s="10" t="s">
        <v>695</v>
      </c>
    </row>
    <row r="720" spans="1:3" s="10" customFormat="1" x14ac:dyDescent="0.25">
      <c r="A720" s="10" t="str">
        <f>"0611861382050"</f>
        <v>0611861382050</v>
      </c>
      <c r="B720" s="10" t="str">
        <f>"CR3866"</f>
        <v>CR3866</v>
      </c>
      <c r="C720" s="10" t="s">
        <v>697</v>
      </c>
    </row>
    <row r="721" spans="1:3" s="10" customFormat="1" x14ac:dyDescent="0.25">
      <c r="A721" s="10" t="str">
        <f>"0611893558050"</f>
        <v>0611893558050</v>
      </c>
      <c r="B721" s="10" t="str">
        <f>"CR4128"</f>
        <v>CR4128</v>
      </c>
      <c r="C721" s="10" t="s">
        <v>696</v>
      </c>
    </row>
    <row r="722" spans="1:3" s="10" customFormat="1" x14ac:dyDescent="0.25">
      <c r="A722" s="10" t="str">
        <f>"0611893559050"</f>
        <v>0611893559050</v>
      </c>
      <c r="B722" s="10" t="str">
        <f>"CR5450"</f>
        <v>CR5450</v>
      </c>
      <c r="C722" s="10" t="s">
        <v>698</v>
      </c>
    </row>
    <row r="723" spans="1:3" s="10" customFormat="1" x14ac:dyDescent="0.25">
      <c r="A723" s="10" t="str">
        <f>"0611861275050"</f>
        <v>0611861275050</v>
      </c>
      <c r="B723" s="10" t="str">
        <f>"CR3751"</f>
        <v>CR3751</v>
      </c>
      <c r="C723" s="10" t="s">
        <v>699</v>
      </c>
    </row>
    <row r="724" spans="1:3" s="10" customFormat="1" x14ac:dyDescent="0.25">
      <c r="A724" s="10" t="str">
        <f>"0611861321050"</f>
        <v>0611861321050</v>
      </c>
      <c r="B724" s="10" t="str">
        <f>"CR4802"</f>
        <v>CR4802</v>
      </c>
      <c r="C724" s="10" t="s">
        <v>702</v>
      </c>
    </row>
    <row r="725" spans="1:3" s="10" customFormat="1" x14ac:dyDescent="0.25">
      <c r="A725" s="10" t="str">
        <f>"0611861319050"</f>
        <v>0611861319050</v>
      </c>
      <c r="B725" s="10" t="str">
        <f>"CR3987"</f>
        <v>CR3987</v>
      </c>
      <c r="C725" s="10" t="s">
        <v>703</v>
      </c>
    </row>
    <row r="726" spans="1:3" s="10" customFormat="1" x14ac:dyDescent="0.25">
      <c r="A726" s="10" t="str">
        <f>"0611861342050"</f>
        <v>0611861342050</v>
      </c>
      <c r="B726" s="10" t="str">
        <f>"CR4799"</f>
        <v>CR4799</v>
      </c>
      <c r="C726" s="10" t="s">
        <v>704</v>
      </c>
    </row>
    <row r="727" spans="1:3" s="10" customFormat="1" x14ac:dyDescent="0.25">
      <c r="A727" s="10" t="str">
        <f>"0611893560050"</f>
        <v>0611893560050</v>
      </c>
      <c r="B727" s="10" t="str">
        <f>"CR5451"</f>
        <v>CR5451</v>
      </c>
      <c r="C727" s="10" t="s">
        <v>705</v>
      </c>
    </row>
    <row r="728" spans="1:3" s="10" customFormat="1" x14ac:dyDescent="0.25">
      <c r="A728" s="10" t="str">
        <f>"0611861369050"</f>
        <v>0611861369050</v>
      </c>
      <c r="B728" s="10" t="str">
        <f>"CR3859"</f>
        <v>CR3859</v>
      </c>
      <c r="C728" s="10" t="s">
        <v>700</v>
      </c>
    </row>
    <row r="729" spans="1:3" s="10" customFormat="1" x14ac:dyDescent="0.25">
      <c r="A729" s="10" t="str">
        <f>"0611861371050"</f>
        <v>0611861371050</v>
      </c>
      <c r="B729" s="10" t="str">
        <f>"CR3229"</f>
        <v>CR3229</v>
      </c>
      <c r="C729" s="10" t="s">
        <v>701</v>
      </c>
    </row>
    <row r="730" spans="1:3" s="10" customFormat="1" x14ac:dyDescent="0.25">
      <c r="A730" s="10" t="str">
        <f>"0611861372050"</f>
        <v>0611861372050</v>
      </c>
      <c r="B730" s="10" t="str">
        <f>"CR3763"</f>
        <v>CR3763</v>
      </c>
      <c r="C730" s="10" t="s">
        <v>706</v>
      </c>
    </row>
    <row r="731" spans="1:3" s="10" customFormat="1" x14ac:dyDescent="0.25">
      <c r="A731" s="10" t="str">
        <f>"0611861374050"</f>
        <v>0611861374050</v>
      </c>
      <c r="B731" s="10" t="str">
        <f>"CR3770"</f>
        <v>CR3770</v>
      </c>
      <c r="C731" s="10" t="s">
        <v>708</v>
      </c>
    </row>
    <row r="732" spans="1:3" s="10" customFormat="1" x14ac:dyDescent="0.25">
      <c r="A732" s="10" t="str">
        <f>"0611861375050"</f>
        <v>0611861375050</v>
      </c>
      <c r="B732" s="10" t="str">
        <f>"CR3861"</f>
        <v>CR3861</v>
      </c>
      <c r="C732" s="10" t="s">
        <v>709</v>
      </c>
    </row>
    <row r="733" spans="1:3" s="10" customFormat="1" x14ac:dyDescent="0.25">
      <c r="A733" s="10" t="str">
        <f>"0611861376050"</f>
        <v>0611861376050</v>
      </c>
      <c r="B733" s="10" t="str">
        <f>"CR3860"</f>
        <v>CR3860</v>
      </c>
      <c r="C733" s="10" t="s">
        <v>710</v>
      </c>
    </row>
    <row r="734" spans="1:3" s="10" customFormat="1" x14ac:dyDescent="0.25">
      <c r="A734" s="10" t="str">
        <f>"0611893561050"</f>
        <v>0611893561050</v>
      </c>
      <c r="B734" s="10" t="str">
        <f>"CR5452"</f>
        <v>CR5452</v>
      </c>
      <c r="C734" s="10" t="s">
        <v>707</v>
      </c>
    </row>
    <row r="735" spans="1:3" s="10" customFormat="1" x14ac:dyDescent="0.25">
      <c r="A735" s="10" t="str">
        <f>"0611893562050"</f>
        <v>0611893562050</v>
      </c>
      <c r="B735" s="10" t="str">
        <f>"CR5453"</f>
        <v>CR5453</v>
      </c>
      <c r="C735" s="10" t="s">
        <v>711</v>
      </c>
    </row>
    <row r="736" spans="1:3" s="10" customFormat="1" x14ac:dyDescent="0.25">
      <c r="A736" s="10" t="str">
        <f>"0611893563050"</f>
        <v>0611893563050</v>
      </c>
      <c r="B736" s="10" t="str">
        <f>"CR5454"</f>
        <v>CR5454</v>
      </c>
      <c r="C736" s="10" t="s">
        <v>712</v>
      </c>
    </row>
    <row r="737" spans="1:3" s="10" customFormat="1" x14ac:dyDescent="0.25">
      <c r="A737" s="10" t="str">
        <f>"0611893564050"</f>
        <v>0611893564050</v>
      </c>
      <c r="B737" s="10" t="str">
        <f>"CR5455"</f>
        <v>CR5455</v>
      </c>
      <c r="C737" s="10" t="s">
        <v>713</v>
      </c>
    </row>
    <row r="738" spans="1:3" s="10" customFormat="1" x14ac:dyDescent="0.25">
      <c r="A738" s="10" t="str">
        <f>"0611861320050"</f>
        <v>0611861320050</v>
      </c>
      <c r="B738" s="10" t="str">
        <f>"CR3926"</f>
        <v>CR3926</v>
      </c>
      <c r="C738" s="10" t="s">
        <v>714</v>
      </c>
    </row>
    <row r="739" spans="1:3" s="10" customFormat="1" x14ac:dyDescent="0.25">
      <c r="A739" s="10" t="str">
        <f>"0611893565050"</f>
        <v>0611893565050</v>
      </c>
      <c r="B739" s="10" t="str">
        <f>"CR5456"</f>
        <v>CR5456</v>
      </c>
      <c r="C739" s="10" t="s">
        <v>715</v>
      </c>
    </row>
    <row r="740" spans="1:3" s="10" customFormat="1" x14ac:dyDescent="0.25">
      <c r="A740" s="10" t="str">
        <f>"0611861424050"</f>
        <v>0611861424050</v>
      </c>
      <c r="B740" s="10" t="str">
        <f>"CR3449"</f>
        <v>CR3449</v>
      </c>
      <c r="C740" s="10" t="s">
        <v>716</v>
      </c>
    </row>
    <row r="741" spans="1:3" s="10" customFormat="1" x14ac:dyDescent="0.25">
      <c r="A741" s="10" t="str">
        <f>"0611861425050"</f>
        <v>0611861425050</v>
      </c>
      <c r="B741" s="10" t="str">
        <f>"CR4129"</f>
        <v>CR4129</v>
      </c>
      <c r="C741" s="10" t="s">
        <v>717</v>
      </c>
    </row>
    <row r="742" spans="1:3" s="10" customFormat="1" x14ac:dyDescent="0.25">
      <c r="A742" s="10" t="str">
        <f>"0611861323050"</f>
        <v>0611861323050</v>
      </c>
      <c r="B742" s="10" t="str">
        <f>"CR3927"</f>
        <v>CR3927</v>
      </c>
      <c r="C742" s="10" t="s">
        <v>720</v>
      </c>
    </row>
    <row r="743" spans="1:3" s="10" customFormat="1" x14ac:dyDescent="0.25">
      <c r="A743" s="10" t="str">
        <f>"0611861324050"</f>
        <v>0611861324050</v>
      </c>
      <c r="B743" s="10" t="str">
        <f>"CR4808"</f>
        <v>CR4808</v>
      </c>
      <c r="C743" s="10" t="s">
        <v>721</v>
      </c>
    </row>
    <row r="744" spans="1:3" s="10" customFormat="1" x14ac:dyDescent="0.25">
      <c r="A744" s="10" t="str">
        <f>"0611861325050"</f>
        <v>0611861325050</v>
      </c>
      <c r="B744" s="10" t="str">
        <f>"CR5026"</f>
        <v>CR5026</v>
      </c>
      <c r="C744" s="10" t="s">
        <v>722</v>
      </c>
    </row>
    <row r="745" spans="1:3" s="10" customFormat="1" x14ac:dyDescent="0.25">
      <c r="A745" s="10" t="str">
        <f>"0611861326050"</f>
        <v>0611861326050</v>
      </c>
      <c r="B745" s="10" t="str">
        <f>"CR4809"</f>
        <v>CR4809</v>
      </c>
      <c r="C745" s="10" t="s">
        <v>723</v>
      </c>
    </row>
    <row r="746" spans="1:3" s="10" customFormat="1" x14ac:dyDescent="0.25">
      <c r="A746" s="10" t="str">
        <f>"0611861327050"</f>
        <v>0611861327050</v>
      </c>
      <c r="B746" s="10" t="str">
        <f>"CR4810"</f>
        <v>CR4810</v>
      </c>
      <c r="C746" s="10" t="s">
        <v>724</v>
      </c>
    </row>
    <row r="747" spans="1:3" s="10" customFormat="1" x14ac:dyDescent="0.25">
      <c r="A747" s="10" t="str">
        <f>"0611861328050"</f>
        <v>0611861328050</v>
      </c>
      <c r="B747" s="10" t="str">
        <f>"CR4811"</f>
        <v>CR4811</v>
      </c>
      <c r="C747" s="10" t="s">
        <v>725</v>
      </c>
    </row>
    <row r="748" spans="1:3" s="10" customFormat="1" x14ac:dyDescent="0.25">
      <c r="A748" s="10" t="str">
        <f>"0611884128050"</f>
        <v>0611884128050</v>
      </c>
      <c r="B748" s="10" t="str">
        <f>"CR5403"</f>
        <v>CR5403</v>
      </c>
      <c r="C748" s="10" t="s">
        <v>726</v>
      </c>
    </row>
    <row r="749" spans="1:3" s="10" customFormat="1" x14ac:dyDescent="0.25">
      <c r="A749" s="10" t="str">
        <f>"0611861329050"</f>
        <v>0611861329050</v>
      </c>
      <c r="B749" s="10" t="str">
        <f>"CR3755"</f>
        <v>CR3755</v>
      </c>
      <c r="C749" s="10" t="s">
        <v>727</v>
      </c>
    </row>
    <row r="750" spans="1:3" s="10" customFormat="1" x14ac:dyDescent="0.25">
      <c r="A750" s="10" t="str">
        <f>"0611893566050"</f>
        <v>0611893566050</v>
      </c>
      <c r="B750" s="10" t="str">
        <f>"CR3454"</f>
        <v>CR3454</v>
      </c>
      <c r="C750" s="10" t="s">
        <v>728</v>
      </c>
    </row>
    <row r="751" spans="1:3" s="10" customFormat="1" x14ac:dyDescent="0.25">
      <c r="A751" s="10" t="str">
        <f>"0611884129050"</f>
        <v>0611884129050</v>
      </c>
      <c r="B751" s="10" t="str">
        <f>"CR5254"</f>
        <v>CR5254</v>
      </c>
      <c r="C751" s="10" t="s">
        <v>729</v>
      </c>
    </row>
    <row r="752" spans="1:3" s="10" customFormat="1" x14ac:dyDescent="0.25">
      <c r="A752" s="10" t="str">
        <f>"0611861299050"</f>
        <v>0611861299050</v>
      </c>
      <c r="B752" s="10" t="str">
        <f>"CR5027"</f>
        <v>CR5027</v>
      </c>
      <c r="C752" s="10" t="s">
        <v>730</v>
      </c>
    </row>
    <row r="753" spans="1:3" s="10" customFormat="1" x14ac:dyDescent="0.25">
      <c r="A753" s="10" t="str">
        <f>"0611861334050"</f>
        <v>0611861334050</v>
      </c>
      <c r="B753" s="10" t="str">
        <f>"CR4761"</f>
        <v>CR4761</v>
      </c>
      <c r="C753" s="10" t="s">
        <v>732</v>
      </c>
    </row>
    <row r="754" spans="1:3" s="10" customFormat="1" x14ac:dyDescent="0.25">
      <c r="A754" s="10" t="str">
        <f>"0611861338050"</f>
        <v>0611861338050</v>
      </c>
      <c r="B754" s="10" t="str">
        <f>"CR3757"</f>
        <v>CR3757</v>
      </c>
      <c r="C754" s="10" t="s">
        <v>733</v>
      </c>
    </row>
    <row r="755" spans="1:3" s="10" customFormat="1" x14ac:dyDescent="0.25">
      <c r="A755" s="10" t="str">
        <f>"0611861340050"</f>
        <v>0611861340050</v>
      </c>
      <c r="B755" s="10" t="str">
        <f>"CR3288"</f>
        <v>CR3288</v>
      </c>
      <c r="C755" s="10" t="s">
        <v>734</v>
      </c>
    </row>
    <row r="756" spans="1:3" s="10" customFormat="1" x14ac:dyDescent="0.25">
      <c r="A756" s="10" t="str">
        <f>"0611861341050"</f>
        <v>0611861341050</v>
      </c>
      <c r="B756" s="10" t="str">
        <f>"CR2132"</f>
        <v>CR2132</v>
      </c>
      <c r="C756" s="10" t="s">
        <v>735</v>
      </c>
    </row>
    <row r="757" spans="1:3" s="10" customFormat="1" x14ac:dyDescent="0.25">
      <c r="A757" s="10" t="str">
        <f>"0611884130050"</f>
        <v>0611884130050</v>
      </c>
      <c r="B757" s="10" t="str">
        <f>"CR5253"</f>
        <v>CR5253</v>
      </c>
      <c r="C757" s="10" t="s">
        <v>736</v>
      </c>
    </row>
    <row r="758" spans="1:3" s="10" customFormat="1" x14ac:dyDescent="0.25">
      <c r="A758" s="10" t="str">
        <f>"0611861287050"</f>
        <v>0611861287050</v>
      </c>
      <c r="B758" s="10" t="str">
        <f>"CR2137"</f>
        <v>CR2137</v>
      </c>
      <c r="C758" s="10" t="s">
        <v>737</v>
      </c>
    </row>
    <row r="759" spans="1:3" s="10" customFormat="1" x14ac:dyDescent="0.25">
      <c r="A759" s="10" t="str">
        <f>"0611861305050"</f>
        <v>0611861305050</v>
      </c>
      <c r="B759" s="10" t="str">
        <f>"CR4586"</f>
        <v>CR4586</v>
      </c>
      <c r="C759" s="10" t="s">
        <v>738</v>
      </c>
    </row>
    <row r="760" spans="1:3" s="10" customFormat="1" x14ac:dyDescent="0.25">
      <c r="A760" s="10" t="str">
        <f>"0611861358050"</f>
        <v>0611861358050</v>
      </c>
      <c r="B760" s="10" t="str">
        <f>"CR3287"</f>
        <v>CR3287</v>
      </c>
      <c r="C760" s="10" t="s">
        <v>739</v>
      </c>
    </row>
    <row r="761" spans="1:3" s="10" customFormat="1" x14ac:dyDescent="0.25">
      <c r="A761" s="10" t="str">
        <f>"0611861306050"</f>
        <v>0611861306050</v>
      </c>
      <c r="B761" s="10" t="str">
        <f>"CR4587"</f>
        <v>CR4587</v>
      </c>
      <c r="C761" s="10" t="s">
        <v>740</v>
      </c>
    </row>
    <row r="762" spans="1:3" s="10" customFormat="1" x14ac:dyDescent="0.25">
      <c r="A762" s="10" t="str">
        <f>"0611893567050"</f>
        <v>0611893567050</v>
      </c>
      <c r="B762" s="10" t="str">
        <f>"CR5457"</f>
        <v>CR5457</v>
      </c>
      <c r="C762" s="10" t="s">
        <v>741</v>
      </c>
    </row>
    <row r="763" spans="1:3" s="10" customFormat="1" x14ac:dyDescent="0.25">
      <c r="A763" s="10" t="str">
        <f>"0611861307050"</f>
        <v>0611861307050</v>
      </c>
      <c r="B763" s="10" t="str">
        <f>"CR4588"</f>
        <v>CR4588</v>
      </c>
      <c r="C763" s="10" t="s">
        <v>742</v>
      </c>
    </row>
    <row r="764" spans="1:3" s="10" customFormat="1" x14ac:dyDescent="0.25">
      <c r="A764" s="10" t="str">
        <f>"0611893568050"</f>
        <v>0611893568050</v>
      </c>
      <c r="B764" s="10" t="str">
        <f>"CR5458"</f>
        <v>CR5458</v>
      </c>
      <c r="C764" s="10" t="s">
        <v>743</v>
      </c>
    </row>
    <row r="765" spans="1:3" s="10" customFormat="1" x14ac:dyDescent="0.25">
      <c r="A765" s="10" t="str">
        <f>"0611893569050"</f>
        <v>0611893569050</v>
      </c>
      <c r="B765" s="10" t="str">
        <f>"CR5169"</f>
        <v>CR5169</v>
      </c>
      <c r="C765" s="10" t="s">
        <v>744</v>
      </c>
    </row>
    <row r="766" spans="1:3" s="10" customFormat="1" x14ac:dyDescent="0.25">
      <c r="A766" s="10" t="str">
        <f>"0611861294050"</f>
        <v>0611861294050</v>
      </c>
      <c r="B766" s="10" t="str">
        <f>"CR4771"</f>
        <v>CR4771</v>
      </c>
      <c r="C766" s="10" t="s">
        <v>666</v>
      </c>
    </row>
    <row r="767" spans="1:3" s="10" customFormat="1" x14ac:dyDescent="0.25">
      <c r="A767" s="10" t="str">
        <f>"0611861364050"</f>
        <v>0611861364050</v>
      </c>
      <c r="B767" s="10" t="str">
        <f>"CR4760"</f>
        <v>CR4760</v>
      </c>
      <c r="C767" s="10" t="s">
        <v>745</v>
      </c>
    </row>
    <row r="768" spans="1:3" s="10" customFormat="1" x14ac:dyDescent="0.25">
      <c r="A768" s="10" t="str">
        <f>"0611861366050"</f>
        <v>0611861366050</v>
      </c>
      <c r="B768" s="10" t="str">
        <f>"CR3886"</f>
        <v>CR3886</v>
      </c>
      <c r="C768" s="10" t="s">
        <v>746</v>
      </c>
    </row>
    <row r="769" spans="1:3" s="10" customFormat="1" x14ac:dyDescent="0.25">
      <c r="A769" s="10" t="str">
        <f>"0611861373050"</f>
        <v>0611861373050</v>
      </c>
      <c r="B769" s="10" t="str">
        <f>"CR3231"</f>
        <v>CR3231</v>
      </c>
      <c r="C769" s="10" t="s">
        <v>747</v>
      </c>
    </row>
    <row r="770" spans="1:3" s="10" customFormat="1" x14ac:dyDescent="0.25">
      <c r="A770" s="10" t="str">
        <f>"0611884131050"</f>
        <v>0611884131050</v>
      </c>
      <c r="B770" s="10" t="str">
        <f>"CR5362"</f>
        <v>CR5362</v>
      </c>
      <c r="C770" s="10" t="s">
        <v>748</v>
      </c>
    </row>
    <row r="771" spans="1:3" s="10" customFormat="1" x14ac:dyDescent="0.25">
      <c r="A771" s="10" t="str">
        <f>"0611861308050"</f>
        <v>0611861308050</v>
      </c>
      <c r="B771" s="10" t="str">
        <f>"CR5250"</f>
        <v>CR5250</v>
      </c>
      <c r="C771" s="10" t="s">
        <v>749</v>
      </c>
    </row>
    <row r="772" spans="1:3" s="10" customFormat="1" x14ac:dyDescent="0.25">
      <c r="A772" s="10" t="str">
        <f>"0611884132050"</f>
        <v>0611884132050</v>
      </c>
      <c r="B772" s="10" t="str">
        <f>"CR5388"</f>
        <v>CR5388</v>
      </c>
      <c r="C772" s="10" t="s">
        <v>750</v>
      </c>
    </row>
    <row r="773" spans="1:3" s="10" customFormat="1" x14ac:dyDescent="0.25">
      <c r="A773" s="10" t="str">
        <f>"0611861385050"</f>
        <v>0611861385050</v>
      </c>
      <c r="B773" s="10" t="str">
        <f>"CR4956"</f>
        <v>CR4956</v>
      </c>
      <c r="C773" s="10" t="s">
        <v>751</v>
      </c>
    </row>
    <row r="774" spans="1:3" s="10" customFormat="1" x14ac:dyDescent="0.25">
      <c r="A774" s="10" t="str">
        <f>"0611861331050"</f>
        <v>0611861331050</v>
      </c>
      <c r="B774" s="10" t="str">
        <f>"CR4948"</f>
        <v>CR4948</v>
      </c>
      <c r="C774" s="10" t="s">
        <v>752</v>
      </c>
    </row>
    <row r="775" spans="1:3" s="10" customFormat="1" x14ac:dyDescent="0.25">
      <c r="A775" s="10" t="str">
        <f>"0611861386050"</f>
        <v>0611861386050</v>
      </c>
      <c r="B775" s="10" t="str">
        <f>"CR5037"</f>
        <v>CR5037</v>
      </c>
      <c r="C775" s="10" t="s">
        <v>753</v>
      </c>
    </row>
    <row r="776" spans="1:3" s="10" customFormat="1" x14ac:dyDescent="0.25">
      <c r="A776" s="10" t="str">
        <f>"0611861417050"</f>
        <v>0611861417050</v>
      </c>
      <c r="B776" s="10" t="str">
        <f>"CR4952"</f>
        <v>CR4952</v>
      </c>
      <c r="C776" s="10" t="s">
        <v>754</v>
      </c>
    </row>
    <row r="777" spans="1:3" s="10" customFormat="1" x14ac:dyDescent="0.25">
      <c r="A777" s="10" t="str">
        <f>"0611861309050"</f>
        <v>0611861309050</v>
      </c>
      <c r="B777" s="10" t="str">
        <f>"CR4590"</f>
        <v>CR4590</v>
      </c>
      <c r="C777" s="10" t="s">
        <v>755</v>
      </c>
    </row>
    <row r="778" spans="1:3" s="10" customFormat="1" x14ac:dyDescent="0.25">
      <c r="A778" s="10" t="str">
        <f>"0611861310050"</f>
        <v>0611861310050</v>
      </c>
      <c r="B778" s="10" t="str">
        <f>"CR4591"</f>
        <v>CR4591</v>
      </c>
      <c r="C778" s="10" t="s">
        <v>756</v>
      </c>
    </row>
    <row r="779" spans="1:3" s="10" customFormat="1" x14ac:dyDescent="0.25">
      <c r="A779" s="10" t="str">
        <f>"0611861350050"</f>
        <v>0611861350050</v>
      </c>
      <c r="B779" s="10" t="str">
        <f>"CR3762"</f>
        <v>CR3762</v>
      </c>
      <c r="C779" s="10" t="s">
        <v>757</v>
      </c>
    </row>
    <row r="780" spans="1:3" s="10" customFormat="1" x14ac:dyDescent="0.25">
      <c r="A780" s="10" t="str">
        <f>"0611861365050"</f>
        <v>0611861365050</v>
      </c>
      <c r="B780" s="10" t="str">
        <f>"CR3764"</f>
        <v>CR3764</v>
      </c>
      <c r="C780" s="10" t="s">
        <v>758</v>
      </c>
    </row>
    <row r="781" spans="1:3" s="10" customFormat="1" x14ac:dyDescent="0.25">
      <c r="A781" s="10" t="str">
        <f>"0611861390050"</f>
        <v>0611861390050</v>
      </c>
      <c r="B781" s="10" t="str">
        <f>"CR3765"</f>
        <v>CR3765</v>
      </c>
      <c r="C781" s="10" t="s">
        <v>759</v>
      </c>
    </row>
    <row r="782" spans="1:3" s="10" customFormat="1" x14ac:dyDescent="0.25">
      <c r="A782" s="10" t="str">
        <f>"0611861407050"</f>
        <v>0611861407050</v>
      </c>
      <c r="B782" s="10" t="str">
        <f>"CR3768"</f>
        <v>CR3768</v>
      </c>
      <c r="C782" s="10" t="s">
        <v>760</v>
      </c>
    </row>
    <row r="783" spans="1:3" s="10" customFormat="1" x14ac:dyDescent="0.25">
      <c r="A783" s="10" t="str">
        <f>"0611861411050"</f>
        <v>0611861411050</v>
      </c>
      <c r="B783" s="10" t="str">
        <f>"CR3769"</f>
        <v>CR3769</v>
      </c>
      <c r="C783" s="10" t="s">
        <v>761</v>
      </c>
    </row>
    <row r="784" spans="1:3" s="10" customFormat="1" x14ac:dyDescent="0.25">
      <c r="A784" s="10" t="str">
        <f>"0611884134050"</f>
        <v>0611884134050</v>
      </c>
      <c r="B784" s="10" t="str">
        <f>"CR5356"</f>
        <v>CR5356</v>
      </c>
      <c r="C784" s="10" t="s">
        <v>762</v>
      </c>
    </row>
    <row r="785" spans="1:3" s="10" customFormat="1" x14ac:dyDescent="0.25">
      <c r="A785" s="10" t="str">
        <f>"0611884135050"</f>
        <v>0611884135050</v>
      </c>
      <c r="B785" s="10" t="str">
        <f>"CR5272"</f>
        <v>CR5272</v>
      </c>
      <c r="C785" s="10" t="s">
        <v>763</v>
      </c>
    </row>
    <row r="786" spans="1:3" s="10" customFormat="1" x14ac:dyDescent="0.25">
      <c r="A786" s="10" t="str">
        <f>"0611861394050"</f>
        <v>0611861394050</v>
      </c>
      <c r="B786" s="10" t="str">
        <f>"CR2146"</f>
        <v>CR2146</v>
      </c>
      <c r="C786" s="10" t="s">
        <v>764</v>
      </c>
    </row>
    <row r="787" spans="1:3" s="10" customFormat="1" x14ac:dyDescent="0.25">
      <c r="A787" s="10" t="str">
        <f>"0611861396050"</f>
        <v>0611861396050</v>
      </c>
      <c r="B787" s="10" t="str">
        <f>"CR4763"</f>
        <v>CR4763</v>
      </c>
      <c r="C787" s="10" t="s">
        <v>765</v>
      </c>
    </row>
    <row r="788" spans="1:3" s="10" customFormat="1" x14ac:dyDescent="0.25">
      <c r="A788" s="10" t="str">
        <f>"0611861402050"</f>
        <v>0611861402050</v>
      </c>
      <c r="B788" s="10" t="str">
        <f>"CR4804"</f>
        <v>CR4804</v>
      </c>
      <c r="C788" s="10" t="s">
        <v>767</v>
      </c>
    </row>
    <row r="789" spans="1:3" s="10" customFormat="1" x14ac:dyDescent="0.25">
      <c r="A789" s="10" t="str">
        <f>"0611861403050"</f>
        <v>0611861403050</v>
      </c>
      <c r="B789" s="10" t="str">
        <f>"CR4806"</f>
        <v>CR4806</v>
      </c>
      <c r="C789" s="10" t="s">
        <v>768</v>
      </c>
    </row>
    <row r="790" spans="1:3" s="10" customFormat="1" x14ac:dyDescent="0.25">
      <c r="A790" s="10" t="str">
        <f>"0611861404050"</f>
        <v>0611861404050</v>
      </c>
      <c r="B790" s="10" t="str">
        <f>"CR4807"</f>
        <v>CR4807</v>
      </c>
      <c r="C790" s="10" t="s">
        <v>769</v>
      </c>
    </row>
    <row r="791" spans="1:3" s="10" customFormat="1" x14ac:dyDescent="0.25">
      <c r="A791" s="10" t="str">
        <f>"0611861405050"</f>
        <v>0611861405050</v>
      </c>
      <c r="B791" s="10" t="str">
        <f>"CR4805"</f>
        <v>CR4805</v>
      </c>
      <c r="C791" s="10" t="s">
        <v>770</v>
      </c>
    </row>
    <row r="792" spans="1:3" s="10" customFormat="1" x14ac:dyDescent="0.25">
      <c r="A792" s="10" t="str">
        <f>"0611861406050"</f>
        <v>0611861406050</v>
      </c>
      <c r="B792" s="10" t="str">
        <f>"CR3056"</f>
        <v>CR3056</v>
      </c>
      <c r="C792" s="10" t="s">
        <v>771</v>
      </c>
    </row>
    <row r="793" spans="1:3" s="10" customFormat="1" x14ac:dyDescent="0.25">
      <c r="A793" s="10" t="str">
        <f>"0611861409050"</f>
        <v>0611861409050</v>
      </c>
      <c r="B793" s="10" t="str">
        <f>"CR5022"</f>
        <v>CR5022</v>
      </c>
      <c r="C793" s="10" t="s">
        <v>773</v>
      </c>
    </row>
    <row r="794" spans="1:3" s="10" customFormat="1" x14ac:dyDescent="0.25">
      <c r="A794" s="10" t="str">
        <f>"0611861410050"</f>
        <v>0611861410050</v>
      </c>
      <c r="B794" s="10" t="str">
        <f>"CR5024"</f>
        <v>CR5024</v>
      </c>
      <c r="C794" s="10" t="s">
        <v>772</v>
      </c>
    </row>
    <row r="795" spans="1:3" s="10" customFormat="1" x14ac:dyDescent="0.25">
      <c r="A795" s="10" t="str">
        <f>"0611884136050"</f>
        <v>0611884136050</v>
      </c>
      <c r="B795" s="10" t="str">
        <f>"CR5357"</f>
        <v>CR5357</v>
      </c>
      <c r="C795" s="10" t="s">
        <v>774</v>
      </c>
    </row>
    <row r="796" spans="1:3" s="10" customFormat="1" x14ac:dyDescent="0.25">
      <c r="A796" s="10" t="str">
        <f>"0611861311050"</f>
        <v>0611861311050</v>
      </c>
      <c r="B796" s="10" t="str">
        <f>"CR5028"</f>
        <v>CR5028</v>
      </c>
      <c r="C796" s="10" t="s">
        <v>775</v>
      </c>
    </row>
    <row r="797" spans="1:3" s="10" customFormat="1" x14ac:dyDescent="0.25">
      <c r="A797" s="10" t="str">
        <f>"0611861408050"</f>
        <v>0611861408050</v>
      </c>
      <c r="B797" s="10" t="str">
        <f>"CR4801"</f>
        <v>CR4801</v>
      </c>
      <c r="C797" s="10" t="s">
        <v>776</v>
      </c>
    </row>
    <row r="798" spans="1:3" s="10" customFormat="1" x14ac:dyDescent="0.25">
      <c r="A798" s="10" t="str">
        <f>"0611861418050"</f>
        <v>0611861418050</v>
      </c>
      <c r="B798" s="10" t="str">
        <f>"CR5178"</f>
        <v>CR5178</v>
      </c>
      <c r="C798" s="10" t="s">
        <v>778</v>
      </c>
    </row>
    <row r="799" spans="1:3" s="10" customFormat="1" x14ac:dyDescent="0.25">
      <c r="A799" s="10" t="str">
        <f>"0611861297050"</f>
        <v>0611861297050</v>
      </c>
      <c r="B799" s="10" t="str">
        <f>"CR5036"</f>
        <v>CR5036</v>
      </c>
      <c r="C799" s="10" t="s">
        <v>779</v>
      </c>
    </row>
    <row r="800" spans="1:3" s="10" customFormat="1" x14ac:dyDescent="0.25">
      <c r="A800" s="10" t="str">
        <f>"0611861419050"</f>
        <v>0611861419050</v>
      </c>
      <c r="B800" s="10" t="str">
        <f>"CR4812"</f>
        <v>CR4812</v>
      </c>
      <c r="C800" s="10" t="s">
        <v>780</v>
      </c>
    </row>
    <row r="801" spans="1:3" s="10" customFormat="1" x14ac:dyDescent="0.25">
      <c r="A801" s="10" t="str">
        <f>"0611861420050"</f>
        <v>0611861420050</v>
      </c>
      <c r="B801" s="10" t="str">
        <f>"CR4813"</f>
        <v>CR4813</v>
      </c>
      <c r="C801" s="10" t="s">
        <v>781</v>
      </c>
    </row>
    <row r="802" spans="1:3" s="10" customFormat="1" x14ac:dyDescent="0.25">
      <c r="A802" s="10" t="str">
        <f>"0611861421050"</f>
        <v>0611861421050</v>
      </c>
      <c r="B802" s="10" t="str">
        <f>"CR5179"</f>
        <v>CR5179</v>
      </c>
      <c r="C802" s="10" t="s">
        <v>782</v>
      </c>
    </row>
    <row r="803" spans="1:3" s="10" customFormat="1" x14ac:dyDescent="0.25">
      <c r="A803" s="10" t="str">
        <f>"0611884137050"</f>
        <v>0611884137050</v>
      </c>
      <c r="B803" s="10" t="str">
        <f>"CR5342"</f>
        <v>CR5342</v>
      </c>
      <c r="C803" s="10" t="s">
        <v>783</v>
      </c>
    </row>
    <row r="804" spans="1:3" s="10" customFormat="1" x14ac:dyDescent="0.25">
      <c r="A804" s="10" t="str">
        <f>"0611884138050"</f>
        <v>0611884138050</v>
      </c>
      <c r="B804" s="10" t="str">
        <f>"CR5358"</f>
        <v>CR5358</v>
      </c>
      <c r="C804" s="10" t="s">
        <v>784</v>
      </c>
    </row>
    <row r="805" spans="1:3" s="10" customFormat="1" x14ac:dyDescent="0.25">
      <c r="A805" s="10" t="str">
        <f>"0611884139050"</f>
        <v>0611884139050</v>
      </c>
      <c r="B805" s="10" t="str">
        <f>"CR5336"</f>
        <v>CR5336</v>
      </c>
      <c r="C805" s="10" t="s">
        <v>785</v>
      </c>
    </row>
    <row r="806" spans="1:3" s="10" customFormat="1" x14ac:dyDescent="0.25">
      <c r="A806" s="10" t="str">
        <f>"0611893570050"</f>
        <v>0611893570050</v>
      </c>
      <c r="B806" s="10" t="str">
        <f>"CR5433"</f>
        <v>CR5433</v>
      </c>
      <c r="C806" s="10" t="s">
        <v>791</v>
      </c>
    </row>
    <row r="807" spans="1:3" s="10" customFormat="1" x14ac:dyDescent="0.25">
      <c r="A807" s="10" t="str">
        <f>"0611861267050"</f>
        <v>0611861267050</v>
      </c>
      <c r="B807" s="10" t="str">
        <f>"CR2985"</f>
        <v>CR2985</v>
      </c>
      <c r="C807" s="10" t="s">
        <v>786</v>
      </c>
    </row>
    <row r="808" spans="1:3" s="10" customFormat="1" x14ac:dyDescent="0.25">
      <c r="A808" s="10" t="str">
        <f>"0611861301050"</f>
        <v>0611861301050</v>
      </c>
      <c r="B808" s="10" t="str">
        <f>"CR3752"</f>
        <v>CR3752</v>
      </c>
      <c r="C808" s="10" t="s">
        <v>788</v>
      </c>
    </row>
    <row r="809" spans="1:3" s="10" customFormat="1" x14ac:dyDescent="0.25">
      <c r="A809" s="10" t="str">
        <f>"0611861370050"</f>
        <v>0611861370050</v>
      </c>
      <c r="B809" s="10" t="str">
        <f>"CR3754"</f>
        <v>CR3754</v>
      </c>
      <c r="C809" s="10" t="s">
        <v>789</v>
      </c>
    </row>
    <row r="810" spans="1:3" s="10" customFormat="1" x14ac:dyDescent="0.25">
      <c r="A810" s="10" t="str">
        <f>"0611861388050"</f>
        <v>0611861388050</v>
      </c>
      <c r="B810" s="10" t="str">
        <f>"CR2142"</f>
        <v>CR2142</v>
      </c>
      <c r="C810" s="10" t="s">
        <v>792</v>
      </c>
    </row>
    <row r="811" spans="1:3" s="10" customFormat="1" x14ac:dyDescent="0.25">
      <c r="A811" s="10" t="str">
        <f>"0611861393050"</f>
        <v>0611861393050</v>
      </c>
      <c r="B811" s="10" t="str">
        <f>"CR2145"</f>
        <v>CR2145</v>
      </c>
      <c r="C811" s="10" t="s">
        <v>793</v>
      </c>
    </row>
    <row r="812" spans="1:3" s="10" customFormat="1" x14ac:dyDescent="0.25">
      <c r="A812" s="10" t="str">
        <f>"0611861395050"</f>
        <v>0611861395050</v>
      </c>
      <c r="B812" s="10" t="str">
        <f>"CR3054"</f>
        <v>CR3054</v>
      </c>
      <c r="C812" s="10" t="s">
        <v>794</v>
      </c>
    </row>
    <row r="813" spans="1:3" s="10" customFormat="1" x14ac:dyDescent="0.25">
      <c r="A813" s="10" t="str">
        <f>"0611861397050"</f>
        <v>0611861397050</v>
      </c>
      <c r="B813" s="10" t="str">
        <f>"CR3766"</f>
        <v>CR3766</v>
      </c>
      <c r="C813" s="10" t="s">
        <v>795</v>
      </c>
    </row>
    <row r="814" spans="1:3" s="10" customFormat="1" x14ac:dyDescent="0.25">
      <c r="A814" s="10" t="str">
        <f>"0611906549050"</f>
        <v>0611906549050</v>
      </c>
      <c r="B814" s="10" t="str">
        <f>"CR2148"</f>
        <v>CR2148</v>
      </c>
      <c r="C814" s="10" t="s">
        <v>731</v>
      </c>
    </row>
    <row r="815" spans="1:3" s="10" customFormat="1" x14ac:dyDescent="0.25">
      <c r="A815" s="10" t="str">
        <f>"0611861413050"</f>
        <v>0611861413050</v>
      </c>
      <c r="B815" s="10" t="str">
        <f>"CR4137"</f>
        <v>CR4137</v>
      </c>
      <c r="C815" s="10" t="s">
        <v>796</v>
      </c>
    </row>
    <row r="816" spans="1:3" s="10" customFormat="1" x14ac:dyDescent="0.25">
      <c r="A816" s="10" t="str">
        <f>"0611861360050"</f>
        <v>0611861360050</v>
      </c>
      <c r="B816" s="10" t="str">
        <f>"CR4125"</f>
        <v>CR4125</v>
      </c>
      <c r="C816" s="10" t="s">
        <v>797</v>
      </c>
    </row>
    <row r="817" spans="1:3" s="10" customFormat="1" x14ac:dyDescent="0.25">
      <c r="A817" s="10" t="str">
        <f>"0611861269050"</f>
        <v>0611861269050</v>
      </c>
      <c r="B817" s="10" t="str">
        <f>"CR5175"</f>
        <v>CR5175</v>
      </c>
      <c r="C817" s="10" t="s">
        <v>803</v>
      </c>
    </row>
    <row r="818" spans="1:3" s="10" customFormat="1" x14ac:dyDescent="0.25">
      <c r="A818" s="10" t="str">
        <f>"0611861270050"</f>
        <v>0611861270050</v>
      </c>
      <c r="B818" s="10" t="str">
        <f>"CR3419"</f>
        <v>CR3419</v>
      </c>
      <c r="C818" s="10" t="s">
        <v>800</v>
      </c>
    </row>
    <row r="819" spans="1:3" s="10" customFormat="1" x14ac:dyDescent="0.25">
      <c r="A819" s="10" t="str">
        <f>"0611861271050"</f>
        <v>0611861271050</v>
      </c>
      <c r="B819" s="10" t="str">
        <f>"CR3181"</f>
        <v>CR3181</v>
      </c>
      <c r="C819" s="10" t="s">
        <v>801</v>
      </c>
    </row>
    <row r="820" spans="1:3" s="10" customFormat="1" x14ac:dyDescent="0.25">
      <c r="A820" s="10" t="str">
        <f>"0611861272050"</f>
        <v>0611861272050</v>
      </c>
      <c r="B820" s="10" t="str">
        <f>"CR3875"</f>
        <v>CR3875</v>
      </c>
      <c r="C820" s="10" t="s">
        <v>798</v>
      </c>
    </row>
    <row r="821" spans="1:3" s="10" customFormat="1" x14ac:dyDescent="0.25">
      <c r="A821" s="10" t="str">
        <f>"0611861273050"</f>
        <v>0611861273050</v>
      </c>
      <c r="B821" s="10" t="str">
        <f>"CR5176"</f>
        <v>CR5176</v>
      </c>
      <c r="C821" s="10" t="s">
        <v>799</v>
      </c>
    </row>
    <row r="822" spans="1:3" s="10" customFormat="1" x14ac:dyDescent="0.25">
      <c r="A822" s="10" t="str">
        <f>"0611861274050"</f>
        <v>0611861274050</v>
      </c>
      <c r="B822" s="10" t="str">
        <f>"CR4131"</f>
        <v>CR4131</v>
      </c>
      <c r="C822" s="10" t="s">
        <v>804</v>
      </c>
    </row>
    <row r="823" spans="1:3" s="10" customFormat="1" x14ac:dyDescent="0.25">
      <c r="A823" s="10" t="str">
        <f>"0611861298050"</f>
        <v>0611861298050</v>
      </c>
      <c r="B823" s="10" t="str">
        <f>"CR2125"</f>
        <v>CR2125</v>
      </c>
      <c r="C823" s="10" t="s">
        <v>805</v>
      </c>
    </row>
    <row r="824" spans="1:3" s="10" customFormat="1" x14ac:dyDescent="0.25">
      <c r="A824" s="10" t="str">
        <f>"0611861300050"</f>
        <v>0611861300050</v>
      </c>
      <c r="B824" s="10" t="str">
        <f>"CR3868"</f>
        <v>CR3868</v>
      </c>
      <c r="C824" s="10" t="s">
        <v>806</v>
      </c>
    </row>
    <row r="825" spans="1:3" s="10" customFormat="1" x14ac:dyDescent="0.25">
      <c r="A825" s="10" t="str">
        <f>"0611861318050"</f>
        <v>0611861318050</v>
      </c>
      <c r="B825" s="10" t="str">
        <f>"CR3178"</f>
        <v>CR3178</v>
      </c>
      <c r="C825" s="10" t="s">
        <v>807</v>
      </c>
    </row>
    <row r="826" spans="1:3" s="10" customFormat="1" x14ac:dyDescent="0.25">
      <c r="A826" s="10" t="str">
        <f>"0611861322050"</f>
        <v>0611861322050</v>
      </c>
      <c r="B826" s="10" t="str">
        <f>"CR4130"</f>
        <v>CR4130</v>
      </c>
      <c r="C826" s="10" t="s">
        <v>808</v>
      </c>
    </row>
    <row r="827" spans="1:3" s="10" customFormat="1" x14ac:dyDescent="0.25">
      <c r="A827" s="10" t="str">
        <f>"0611861332050"</f>
        <v>0611861332050</v>
      </c>
      <c r="B827" s="10" t="str">
        <f>"CR2127"</f>
        <v>CR2127</v>
      </c>
      <c r="C827" s="10" t="s">
        <v>826</v>
      </c>
    </row>
    <row r="828" spans="1:3" s="10" customFormat="1" x14ac:dyDescent="0.25">
      <c r="A828" s="10" t="str">
        <f>"0611861333050"</f>
        <v>0611861333050</v>
      </c>
      <c r="B828" s="10" t="str">
        <f>"CR3867"</f>
        <v>CR3867</v>
      </c>
      <c r="C828" s="10" t="s">
        <v>809</v>
      </c>
    </row>
    <row r="829" spans="1:3" s="10" customFormat="1" x14ac:dyDescent="0.25">
      <c r="A829" s="10" t="str">
        <f>"0611861352050"</f>
        <v>0611861352050</v>
      </c>
      <c r="B829" s="10" t="str">
        <f>"CR5174"</f>
        <v>CR5174</v>
      </c>
      <c r="C829" s="10" t="s">
        <v>841</v>
      </c>
    </row>
    <row r="830" spans="1:3" s="10" customFormat="1" x14ac:dyDescent="0.25">
      <c r="A830" s="10" t="str">
        <f>"0611861349050"</f>
        <v>0611861349050</v>
      </c>
      <c r="B830" s="10" t="str">
        <f>"CR3051"</f>
        <v>CR3051</v>
      </c>
      <c r="C830" s="10" t="s">
        <v>810</v>
      </c>
    </row>
    <row r="831" spans="1:3" s="10" customFormat="1" x14ac:dyDescent="0.25">
      <c r="A831" s="10" t="str">
        <f>"0611861351050"</f>
        <v>0611861351050</v>
      </c>
      <c r="B831" s="10" t="str">
        <f>"CR3930"</f>
        <v>CR3930</v>
      </c>
      <c r="C831" s="10" t="s">
        <v>811</v>
      </c>
    </row>
    <row r="832" spans="1:3" s="10" customFormat="1" x14ac:dyDescent="0.25">
      <c r="A832" s="10" t="str">
        <f>"0611861354050"</f>
        <v>0611861354050</v>
      </c>
      <c r="B832" s="10" t="str">
        <f>"CR5062"</f>
        <v>CR5062</v>
      </c>
      <c r="C832" s="10" t="s">
        <v>813</v>
      </c>
    </row>
    <row r="833" spans="1:3" s="10" customFormat="1" x14ac:dyDescent="0.25">
      <c r="A833" s="10" t="str">
        <f>"0611861356050"</f>
        <v>0611861356050</v>
      </c>
      <c r="B833" s="10" t="str">
        <f>"CR3874"</f>
        <v>CR3874</v>
      </c>
      <c r="C833" s="10" t="s">
        <v>814</v>
      </c>
    </row>
    <row r="834" spans="1:3" s="10" customFormat="1" x14ac:dyDescent="0.25">
      <c r="A834" s="10" t="str">
        <f>"0611861357050"</f>
        <v>0611861357050</v>
      </c>
      <c r="B834" s="10" t="str">
        <f>"CR5177"</f>
        <v>CR5177</v>
      </c>
      <c r="C834" s="10" t="s">
        <v>815</v>
      </c>
    </row>
    <row r="835" spans="1:3" s="10" customFormat="1" x14ac:dyDescent="0.25">
      <c r="A835" s="10" t="str">
        <f>"0611861359050"</f>
        <v>0611861359050</v>
      </c>
      <c r="B835" s="10" t="str">
        <f>"CR3052"</f>
        <v>CR3052</v>
      </c>
      <c r="C835" s="10" t="s">
        <v>816</v>
      </c>
    </row>
    <row r="836" spans="1:3" s="10" customFormat="1" x14ac:dyDescent="0.25">
      <c r="A836" s="10" t="str">
        <f>"0611861362050"</f>
        <v>0611861362050</v>
      </c>
      <c r="B836" s="10" t="str">
        <f>"CR4135"</f>
        <v>CR4135</v>
      </c>
      <c r="C836" s="10" t="s">
        <v>817</v>
      </c>
    </row>
    <row r="837" spans="1:3" s="10" customFormat="1" x14ac:dyDescent="0.25">
      <c r="A837" s="10" t="str">
        <f>"0611861363050"</f>
        <v>0611861363050</v>
      </c>
      <c r="B837" s="10" t="str">
        <f>"CR3412"</f>
        <v>CR3412</v>
      </c>
      <c r="C837" s="10" t="s">
        <v>818</v>
      </c>
    </row>
    <row r="838" spans="1:3" s="10" customFormat="1" x14ac:dyDescent="0.25">
      <c r="A838" s="10" t="str">
        <f>"0611861367050"</f>
        <v>0611861367050</v>
      </c>
      <c r="B838" s="10" t="str">
        <f>"CR3053"</f>
        <v>CR3053</v>
      </c>
      <c r="C838" s="10" t="s">
        <v>820</v>
      </c>
    </row>
    <row r="839" spans="1:3" s="10" customFormat="1" x14ac:dyDescent="0.25">
      <c r="A839" s="10" t="str">
        <f>"0611861368050"</f>
        <v>0611861368050</v>
      </c>
      <c r="B839" s="10" t="str">
        <f>"CR3043"</f>
        <v>CR3043</v>
      </c>
      <c r="C839" s="10" t="s">
        <v>823</v>
      </c>
    </row>
    <row r="840" spans="1:3" s="10" customFormat="1" x14ac:dyDescent="0.25">
      <c r="A840" s="10" t="str">
        <f>"0611861379050"</f>
        <v>0611861379050</v>
      </c>
      <c r="B840" s="10" t="str">
        <f>"CR2139"</f>
        <v>CR2139</v>
      </c>
      <c r="C840" s="10" t="s">
        <v>821</v>
      </c>
    </row>
    <row r="841" spans="1:3" s="10" customFormat="1" x14ac:dyDescent="0.25">
      <c r="A841" s="10" t="str">
        <f>"0611861380050"</f>
        <v>0611861380050</v>
      </c>
      <c r="B841" s="10" t="str">
        <f>"CR3876"</f>
        <v>CR3876</v>
      </c>
      <c r="C841" s="10" t="s">
        <v>822</v>
      </c>
    </row>
    <row r="842" spans="1:3" s="10" customFormat="1" x14ac:dyDescent="0.25">
      <c r="A842" s="10" t="str">
        <f>"0611861383050"</f>
        <v>0611861383050</v>
      </c>
      <c r="B842" s="10" t="str">
        <f>"CR2141"</f>
        <v>CR2141</v>
      </c>
      <c r="C842" s="10" t="s">
        <v>824</v>
      </c>
    </row>
    <row r="843" spans="1:3" s="10" customFormat="1" x14ac:dyDescent="0.25">
      <c r="A843" s="10" t="str">
        <f>"0611861384050"</f>
        <v>0611861384050</v>
      </c>
      <c r="B843" s="10" t="str">
        <f>"CR3593"</f>
        <v>CR3593</v>
      </c>
      <c r="C843" s="10" t="s">
        <v>825</v>
      </c>
    </row>
    <row r="844" spans="1:3" s="10" customFormat="1" x14ac:dyDescent="0.25">
      <c r="A844" s="10" t="str">
        <f>"0611861387050"</f>
        <v>0611861387050</v>
      </c>
      <c r="B844" s="10" t="str">
        <f>"CR5023"</f>
        <v>CR5023</v>
      </c>
      <c r="C844" s="10" t="s">
        <v>827</v>
      </c>
    </row>
    <row r="845" spans="1:3" s="10" customFormat="1" x14ac:dyDescent="0.25">
      <c r="A845" s="10" t="str">
        <f>"0611861389050"</f>
        <v>0611861389050</v>
      </c>
      <c r="B845" s="10" t="str">
        <f>"CR2143"</f>
        <v>CR2143</v>
      </c>
      <c r="C845" s="10" t="s">
        <v>828</v>
      </c>
    </row>
    <row r="846" spans="1:3" s="10" customFormat="1" x14ac:dyDescent="0.25">
      <c r="A846" s="10" t="str">
        <f>"0611861391050"</f>
        <v>0611861391050</v>
      </c>
      <c r="B846" s="10" t="str">
        <f>"CR4133"</f>
        <v>CR4133</v>
      </c>
      <c r="C846" s="10" t="s">
        <v>829</v>
      </c>
    </row>
    <row r="847" spans="1:3" s="10" customFormat="1" x14ac:dyDescent="0.25">
      <c r="A847" s="10" t="str">
        <f>"0611861392050"</f>
        <v>0611861392050</v>
      </c>
      <c r="B847" s="10" t="str">
        <f>"CR2144"</f>
        <v>CR2144</v>
      </c>
      <c r="C847" s="10" t="s">
        <v>830</v>
      </c>
    </row>
    <row r="848" spans="1:3" s="10" customFormat="1" x14ac:dyDescent="0.25">
      <c r="A848" s="10" t="str">
        <f>"0611861399050"</f>
        <v>0611861399050</v>
      </c>
      <c r="B848" s="10" t="str">
        <f>"CR3055"</f>
        <v>CR3055</v>
      </c>
      <c r="C848" s="10" t="s">
        <v>831</v>
      </c>
    </row>
    <row r="849" spans="1:3" s="10" customFormat="1" x14ac:dyDescent="0.25">
      <c r="A849" s="10" t="str">
        <f>"0611861377050"</f>
        <v>0611861377050</v>
      </c>
      <c r="B849" s="10" t="str">
        <f>"CR4213"</f>
        <v>CR4213</v>
      </c>
      <c r="C849" s="10" t="s">
        <v>832</v>
      </c>
    </row>
    <row r="850" spans="1:3" s="10" customFormat="1" x14ac:dyDescent="0.25">
      <c r="A850" s="10" t="str">
        <f>"0611861412050"</f>
        <v>0611861412050</v>
      </c>
      <c r="B850" s="10" t="str">
        <f>"CR4800"</f>
        <v>CR4800</v>
      </c>
      <c r="C850" s="10" t="s">
        <v>834</v>
      </c>
    </row>
    <row r="851" spans="1:3" s="10" customFormat="1" x14ac:dyDescent="0.25">
      <c r="A851" s="10" t="str">
        <f>"0611861415050"</f>
        <v>0611861415050</v>
      </c>
      <c r="B851" s="10" t="str">
        <f>"CR4134"</f>
        <v>CR4134</v>
      </c>
      <c r="C851" s="10" t="s">
        <v>833</v>
      </c>
    </row>
    <row r="852" spans="1:3" s="10" customFormat="1" x14ac:dyDescent="0.25">
      <c r="A852" s="10" t="str">
        <f>"0611861416050"</f>
        <v>0611861416050</v>
      </c>
      <c r="B852" s="10" t="str">
        <f>"CR3322"</f>
        <v>CR3322</v>
      </c>
      <c r="C852" s="10" t="s">
        <v>835</v>
      </c>
    </row>
    <row r="853" spans="1:3" s="10" customFormat="1" x14ac:dyDescent="0.25">
      <c r="A853" s="10" t="str">
        <f>"0611861422050"</f>
        <v>0611861422050</v>
      </c>
      <c r="B853" s="10" t="str">
        <f>"CR4803"</f>
        <v>CR4803</v>
      </c>
      <c r="C853" s="10" t="s">
        <v>836</v>
      </c>
    </row>
    <row r="854" spans="1:3" s="10" customFormat="1" x14ac:dyDescent="0.25">
      <c r="A854" s="10" t="str">
        <f>"0611861423050"</f>
        <v>0611861423050</v>
      </c>
      <c r="B854" s="10" t="str">
        <f>"CR3928"</f>
        <v>CR3928</v>
      </c>
      <c r="C854" s="10" t="s">
        <v>837</v>
      </c>
    </row>
    <row r="855" spans="1:3" s="10" customFormat="1" x14ac:dyDescent="0.25">
      <c r="A855" s="10" t="str">
        <f>"0611861427050"</f>
        <v>0611861427050</v>
      </c>
      <c r="B855" s="10" t="str">
        <f>"CR3771"</f>
        <v>CR3771</v>
      </c>
      <c r="C855" s="10" t="s">
        <v>839</v>
      </c>
    </row>
    <row r="856" spans="1:3" s="10" customFormat="1" x14ac:dyDescent="0.25">
      <c r="A856" s="10" t="str">
        <f>"0611884140050"</f>
        <v>0611884140050</v>
      </c>
      <c r="B856" s="10" t="str">
        <f>"CR5311"</f>
        <v>CR5311</v>
      </c>
      <c r="C856" s="10" t="s">
        <v>842</v>
      </c>
    </row>
    <row r="857" spans="1:3" s="10" customFormat="1" x14ac:dyDescent="0.25">
      <c r="A857" s="10" t="str">
        <f>"0611861432050"</f>
        <v>0611861432050</v>
      </c>
      <c r="B857" s="10" t="str">
        <f>"CR2151"</f>
        <v>CR2151</v>
      </c>
      <c r="C857" s="10" t="s">
        <v>844</v>
      </c>
    </row>
    <row r="858" spans="1:3" s="10" customFormat="1" x14ac:dyDescent="0.25">
      <c r="A858" s="10" t="str">
        <f>"0611893572050"</f>
        <v>0611893572050</v>
      </c>
      <c r="B858" s="10" t="str">
        <f>"CR5441"</f>
        <v>CR5441</v>
      </c>
      <c r="C858" s="10" t="s">
        <v>845</v>
      </c>
    </row>
    <row r="859" spans="1:3" s="10" customFormat="1" x14ac:dyDescent="0.25">
      <c r="A859" s="10" t="str">
        <f>"0611893573050"</f>
        <v>0611893573050</v>
      </c>
      <c r="B859" s="10" t="str">
        <f>"CR5442"</f>
        <v>CR5442</v>
      </c>
      <c r="C859" s="10" t="s">
        <v>846</v>
      </c>
    </row>
    <row r="860" spans="1:3" s="10" customFormat="1" x14ac:dyDescent="0.25">
      <c r="A860" s="10" t="str">
        <f>"0611893574050"</f>
        <v>0611893574050</v>
      </c>
      <c r="B860" s="10" t="str">
        <f>"CR5443"</f>
        <v>CR5443</v>
      </c>
      <c r="C860" s="10" t="s">
        <v>847</v>
      </c>
    </row>
    <row r="861" spans="1:3" s="10" customFormat="1" x14ac:dyDescent="0.25">
      <c r="A861" s="10" t="str">
        <f>"0611861335050"</f>
        <v>0611861335050</v>
      </c>
      <c r="B861" s="10" t="str">
        <f>"CR2129"</f>
        <v>CR2129</v>
      </c>
      <c r="C861" s="10" t="s">
        <v>848</v>
      </c>
    </row>
    <row r="862" spans="1:3" s="10" customFormat="1" x14ac:dyDescent="0.25">
      <c r="A862" s="10" t="str">
        <f>"0611861336050"</f>
        <v>0611861336050</v>
      </c>
      <c r="B862" s="10" t="str">
        <f>"CR4953"</f>
        <v>CR4953</v>
      </c>
      <c r="C862" s="10" t="s">
        <v>849</v>
      </c>
    </row>
    <row r="863" spans="1:3" s="10" customFormat="1" x14ac:dyDescent="0.25">
      <c r="A863" s="10" t="str">
        <f>"0611861337050"</f>
        <v>0611861337050</v>
      </c>
      <c r="B863" s="10" t="str">
        <f>"CR2130"</f>
        <v>CR2130</v>
      </c>
      <c r="C863" s="10" t="s">
        <v>850</v>
      </c>
    </row>
    <row r="864" spans="1:3" s="10" customFormat="1" x14ac:dyDescent="0.25">
      <c r="A864" s="10" t="str">
        <f>"0611861339050"</f>
        <v>0611861339050</v>
      </c>
      <c r="B864" s="10" t="str">
        <f>"CR2131"</f>
        <v>CR2131</v>
      </c>
      <c r="C864" s="10" t="s">
        <v>851</v>
      </c>
    </row>
    <row r="865" spans="1:3" s="10" customFormat="1" x14ac:dyDescent="0.25">
      <c r="A865" s="10" t="str">
        <f>"0611906550050"</f>
        <v>0611906550050</v>
      </c>
      <c r="B865" s="10" t="str">
        <f>"CR5482"</f>
        <v>CR5482</v>
      </c>
      <c r="C865" s="10" t="s">
        <v>777</v>
      </c>
    </row>
    <row r="866" spans="1:3" s="10" customFormat="1" x14ac:dyDescent="0.25">
      <c r="A866" s="10" t="str">
        <f>"0611906551050"</f>
        <v>0611906551050</v>
      </c>
      <c r="B866" s="10" t="str">
        <f>"CR5466"</f>
        <v>CR5466</v>
      </c>
      <c r="C866" s="10" t="s">
        <v>787</v>
      </c>
    </row>
    <row r="867" spans="1:3" s="10" customFormat="1" x14ac:dyDescent="0.25">
      <c r="A867" s="10" t="str">
        <f>"0611906552050"</f>
        <v>0611906552050</v>
      </c>
      <c r="B867" s="10" t="str">
        <f>"CR5475"</f>
        <v>CR5475</v>
      </c>
      <c r="C867" s="10" t="s">
        <v>790</v>
      </c>
    </row>
    <row r="868" spans="1:3" s="10" customFormat="1" x14ac:dyDescent="0.25">
      <c r="A868" s="10" t="str">
        <f>"0611906553050"</f>
        <v>0611906553050</v>
      </c>
      <c r="B868" s="10" t="str">
        <f>"CR5467"</f>
        <v>CR5467</v>
      </c>
      <c r="C868" s="10" t="s">
        <v>802</v>
      </c>
    </row>
    <row r="869" spans="1:3" s="10" customFormat="1" x14ac:dyDescent="0.25">
      <c r="A869" s="10" t="str">
        <f>"0611906554050"</f>
        <v>0611906554050</v>
      </c>
      <c r="B869" s="10" t="str">
        <f>"CR5477"</f>
        <v>CR5477</v>
      </c>
      <c r="C869" s="10" t="s">
        <v>812</v>
      </c>
    </row>
    <row r="870" spans="1:3" s="10" customFormat="1" x14ac:dyDescent="0.25">
      <c r="A870" s="10" t="str">
        <f>"0611906555050"</f>
        <v>0611906555050</v>
      </c>
      <c r="B870" s="10" t="str">
        <f>"CR5480"</f>
        <v>CR5480</v>
      </c>
      <c r="C870" s="10" t="s">
        <v>819</v>
      </c>
    </row>
    <row r="871" spans="1:3" s="10" customFormat="1" x14ac:dyDescent="0.25">
      <c r="A871" s="10" t="str">
        <f>"0611906556050"</f>
        <v>0611906556050</v>
      </c>
      <c r="B871" s="10" t="str">
        <f>"CR5484"</f>
        <v>CR5484</v>
      </c>
      <c r="C871" s="10" t="s">
        <v>838</v>
      </c>
    </row>
    <row r="872" spans="1:3" s="10" customFormat="1" x14ac:dyDescent="0.25">
      <c r="A872" s="10" t="str">
        <f>"0611906557050"</f>
        <v>0611906557050</v>
      </c>
      <c r="B872" s="10" t="str">
        <f>"CR5485"</f>
        <v>CR5485</v>
      </c>
      <c r="C872" s="10" t="s">
        <v>840</v>
      </c>
    </row>
    <row r="873" spans="1:3" s="10" customFormat="1" x14ac:dyDescent="0.25">
      <c r="A873" s="10" t="str">
        <f>"0611861436100"</f>
        <v>0611861436100</v>
      </c>
      <c r="B873" s="10" t="str">
        <f>"CN5047"</f>
        <v>CN5047</v>
      </c>
      <c r="C873" s="10" t="s">
        <v>852</v>
      </c>
    </row>
    <row r="874" spans="1:3" s="10" customFormat="1" x14ac:dyDescent="0.25">
      <c r="A874" s="10" t="str">
        <f>"0611861437100"</f>
        <v>0611861437100</v>
      </c>
      <c r="B874" s="10" t="str">
        <f>"CN5048"</f>
        <v>CN5048</v>
      </c>
      <c r="C874" s="10" t="s">
        <v>853</v>
      </c>
    </row>
    <row r="875" spans="1:3" s="10" customFormat="1" x14ac:dyDescent="0.25">
      <c r="A875" s="10" t="str">
        <f>"0611861438100"</f>
        <v>0611861438100</v>
      </c>
      <c r="B875" s="10" t="str">
        <f>"CN5049"</f>
        <v>CN5049</v>
      </c>
      <c r="C875" s="10" t="s">
        <v>854</v>
      </c>
    </row>
    <row r="876" spans="1:3" s="10" customFormat="1" x14ac:dyDescent="0.25">
      <c r="A876" s="10" t="str">
        <f>"0611861439100"</f>
        <v>0611861439100</v>
      </c>
      <c r="B876" s="10" t="str">
        <f>"CN5050"</f>
        <v>CN5050</v>
      </c>
      <c r="C876" s="10" t="s">
        <v>855</v>
      </c>
    </row>
    <row r="877" spans="1:3" s="10" customFormat="1" x14ac:dyDescent="0.25">
      <c r="A877" s="10" t="str">
        <f>"0611861440100"</f>
        <v>0611861440100</v>
      </c>
      <c r="B877" s="10" t="str">
        <f>"CN5051"</f>
        <v>CN5051</v>
      </c>
      <c r="C877" s="10" t="s">
        <v>856</v>
      </c>
    </row>
    <row r="878" spans="1:3" s="10" customFormat="1" x14ac:dyDescent="0.25">
      <c r="A878" s="10" t="str">
        <f>"0611861441050"</f>
        <v>0611861441050</v>
      </c>
      <c r="B878" s="10" t="str">
        <f>"CR4226"</f>
        <v>CR4226</v>
      </c>
      <c r="C878" s="10" t="s">
        <v>857</v>
      </c>
    </row>
    <row r="879" spans="1:3" s="10" customFormat="1" x14ac:dyDescent="0.25">
      <c r="A879" s="10" t="str">
        <f>"0611861444100"</f>
        <v>0611861444100</v>
      </c>
      <c r="B879" s="10" t="str">
        <f>"CN5038"</f>
        <v>CN5038</v>
      </c>
      <c r="C879" s="10" t="s">
        <v>858</v>
      </c>
    </row>
    <row r="880" spans="1:3" s="10" customFormat="1" x14ac:dyDescent="0.25">
      <c r="A880" s="10" t="str">
        <f>"0611861445100"</f>
        <v>0611861445100</v>
      </c>
      <c r="B880" s="10" t="str">
        <f>"CN5039"</f>
        <v>CN5039</v>
      </c>
      <c r="C880" s="10" t="s">
        <v>859</v>
      </c>
    </row>
    <row r="881" spans="1:3" s="10" customFormat="1" x14ac:dyDescent="0.25">
      <c r="A881" s="10" t="str">
        <f>"0611861448100"</f>
        <v>0611861448100</v>
      </c>
      <c r="B881" s="10" t="str">
        <f>"CN2303"</f>
        <v>CN2303</v>
      </c>
      <c r="C881" s="10" t="s">
        <v>860</v>
      </c>
    </row>
    <row r="882" spans="1:3" s="10" customFormat="1" x14ac:dyDescent="0.25">
      <c r="A882" s="10" t="str">
        <f>"0611861449100"</f>
        <v>0611861449100</v>
      </c>
      <c r="B882" s="10" t="str">
        <f>"CN2304"</f>
        <v>CN2304</v>
      </c>
      <c r="C882" s="10" t="s">
        <v>861</v>
      </c>
    </row>
    <row r="883" spans="1:3" s="10" customFormat="1" x14ac:dyDescent="0.25">
      <c r="A883" s="10" t="str">
        <f>"0611861450100"</f>
        <v>0611861450100</v>
      </c>
      <c r="B883" s="10" t="str">
        <f>"CN2305"</f>
        <v>CN2305</v>
      </c>
      <c r="C883" s="10" t="s">
        <v>862</v>
      </c>
    </row>
    <row r="884" spans="1:3" s="10" customFormat="1" x14ac:dyDescent="0.25">
      <c r="A884" s="10" t="str">
        <f>"0611861451100"</f>
        <v>0611861451100</v>
      </c>
      <c r="B884" s="10" t="str">
        <f>"CN2306"</f>
        <v>CN2306</v>
      </c>
      <c r="C884" s="10" t="s">
        <v>863</v>
      </c>
    </row>
    <row r="885" spans="1:3" s="10" customFormat="1" x14ac:dyDescent="0.25">
      <c r="A885" s="10" t="str">
        <f>"0611861452100"</f>
        <v>0611861452100</v>
      </c>
      <c r="B885" s="10" t="str">
        <f>"CN2307"</f>
        <v>CN2307</v>
      </c>
      <c r="C885" s="10" t="s">
        <v>864</v>
      </c>
    </row>
    <row r="886" spans="1:3" s="10" customFormat="1" x14ac:dyDescent="0.25">
      <c r="A886" s="10" t="str">
        <f>"0611861456100"</f>
        <v>0611861456100</v>
      </c>
      <c r="B886" s="10" t="str">
        <f>"CN5028"</f>
        <v>CN5028</v>
      </c>
      <c r="C886" s="10" t="s">
        <v>865</v>
      </c>
    </row>
    <row r="887" spans="1:3" s="10" customFormat="1" x14ac:dyDescent="0.25">
      <c r="A887" s="10" t="str">
        <f>"0611861457050"</f>
        <v>0611861457050</v>
      </c>
      <c r="B887" s="10" t="str">
        <f>"CR3790"</f>
        <v>CR3790</v>
      </c>
      <c r="C887" s="10" t="s">
        <v>866</v>
      </c>
    </row>
    <row r="888" spans="1:3" s="10" customFormat="1" x14ac:dyDescent="0.25">
      <c r="A888" s="10" t="str">
        <f>"0611861458100"</f>
        <v>0611861458100</v>
      </c>
      <c r="B888" s="10" t="str">
        <f>"CN5029"</f>
        <v>CN5029</v>
      </c>
      <c r="C888" s="10" t="s">
        <v>867</v>
      </c>
    </row>
    <row r="889" spans="1:3" s="10" customFormat="1" x14ac:dyDescent="0.25">
      <c r="A889" s="10" t="str">
        <f>"0611861459050"</f>
        <v>0611861459050</v>
      </c>
      <c r="B889" s="10" t="str">
        <f>"CR4214"</f>
        <v>CR4214</v>
      </c>
      <c r="C889" s="10" t="s">
        <v>868</v>
      </c>
    </row>
    <row r="890" spans="1:3" s="10" customFormat="1" x14ac:dyDescent="0.25">
      <c r="A890" s="10" t="str">
        <f>"0611861460100"</f>
        <v>0611861460100</v>
      </c>
      <c r="B890" s="10" t="str">
        <f>"CN5030"</f>
        <v>CN5030</v>
      </c>
      <c r="C890" s="10" t="s">
        <v>869</v>
      </c>
    </row>
    <row r="891" spans="1:3" s="10" customFormat="1" x14ac:dyDescent="0.25">
      <c r="A891" s="10" t="str">
        <f>"0611861461100"</f>
        <v>0611861461100</v>
      </c>
      <c r="B891" s="10" t="str">
        <f>"CN5031"</f>
        <v>CN5031</v>
      </c>
      <c r="C891" s="10" t="s">
        <v>870</v>
      </c>
    </row>
    <row r="892" spans="1:3" s="10" customFormat="1" x14ac:dyDescent="0.25">
      <c r="A892" s="10" t="str">
        <f>"0611861462050"</f>
        <v>0611861462050</v>
      </c>
      <c r="B892" s="10" t="str">
        <f>"CR3792"</f>
        <v>CR3792</v>
      </c>
      <c r="C892" s="10" t="s">
        <v>871</v>
      </c>
    </row>
    <row r="893" spans="1:3" s="10" customFormat="1" x14ac:dyDescent="0.25">
      <c r="A893" s="10" t="str">
        <f>"0611861463100"</f>
        <v>0611861463100</v>
      </c>
      <c r="B893" s="10" t="str">
        <f>"CN5053"</f>
        <v>CN5053</v>
      </c>
      <c r="C893" s="10" t="s">
        <v>872</v>
      </c>
    </row>
    <row r="894" spans="1:3" s="10" customFormat="1" x14ac:dyDescent="0.25">
      <c r="A894" s="10" t="str">
        <f>"0611861466100"</f>
        <v>0611861466100</v>
      </c>
      <c r="B894" s="10" t="str">
        <f>"CN2347"</f>
        <v>CN2347</v>
      </c>
      <c r="C894" s="10" t="s">
        <v>873</v>
      </c>
    </row>
    <row r="895" spans="1:3" s="10" customFormat="1" x14ac:dyDescent="0.25">
      <c r="A895" s="10" t="str">
        <f>"0611861464100"</f>
        <v>0611861464100</v>
      </c>
      <c r="B895" s="10" t="str">
        <f>"CN5054"</f>
        <v>CN5054</v>
      </c>
      <c r="C895" s="10" t="s">
        <v>874</v>
      </c>
    </row>
    <row r="896" spans="1:3" s="10" customFormat="1" x14ac:dyDescent="0.25">
      <c r="A896" s="10" t="str">
        <f>"0611861467100"</f>
        <v>0611861467100</v>
      </c>
      <c r="B896" s="10" t="str">
        <f>"CN5055"</f>
        <v>CN5055</v>
      </c>
      <c r="C896" s="10" t="s">
        <v>875</v>
      </c>
    </row>
    <row r="897" spans="1:3" s="10" customFormat="1" x14ac:dyDescent="0.25">
      <c r="A897" s="10" t="str">
        <f>"0611861469100"</f>
        <v>0611861469100</v>
      </c>
      <c r="B897" s="10" t="str">
        <f>"CN5056"</f>
        <v>CN5056</v>
      </c>
      <c r="C897" s="10" t="s">
        <v>877</v>
      </c>
    </row>
    <row r="898" spans="1:3" s="10" customFormat="1" x14ac:dyDescent="0.25">
      <c r="A898" s="10" t="str">
        <f>"0611861470100"</f>
        <v>0611861470100</v>
      </c>
      <c r="B898" s="10" t="str">
        <f>"CN5057"</f>
        <v>CN5057</v>
      </c>
      <c r="C898" s="10" t="s">
        <v>878</v>
      </c>
    </row>
    <row r="899" spans="1:3" s="10" customFormat="1" x14ac:dyDescent="0.25">
      <c r="A899" s="10" t="str">
        <f>"0611861471100"</f>
        <v>0611861471100</v>
      </c>
      <c r="B899" s="10" t="str">
        <f>"CN5058"</f>
        <v>CN5058</v>
      </c>
      <c r="C899" s="10" t="s">
        <v>879</v>
      </c>
    </row>
    <row r="900" spans="1:3" s="10" customFormat="1" x14ac:dyDescent="0.25">
      <c r="A900" s="10" t="str">
        <f>"0611861472100"</f>
        <v>0611861472100</v>
      </c>
      <c r="B900" s="10" t="str">
        <f>"CN5059"</f>
        <v>CN5059</v>
      </c>
      <c r="C900" s="10" t="s">
        <v>880</v>
      </c>
    </row>
    <row r="901" spans="1:3" s="10" customFormat="1" x14ac:dyDescent="0.25">
      <c r="A901" s="10" t="str">
        <f>"0611861473050"</f>
        <v>0611861473050</v>
      </c>
      <c r="B901" s="10" t="str">
        <f>"CR4227"</f>
        <v>CR4227</v>
      </c>
      <c r="C901" s="10" t="s">
        <v>876</v>
      </c>
    </row>
    <row r="902" spans="1:3" s="10" customFormat="1" x14ac:dyDescent="0.25">
      <c r="A902" s="10" t="str">
        <f>"0611861474100"</f>
        <v>0611861474100</v>
      </c>
      <c r="B902" s="10" t="str">
        <f>"CN5060"</f>
        <v>CN5060</v>
      </c>
      <c r="C902" s="10" t="s">
        <v>881</v>
      </c>
    </row>
    <row r="903" spans="1:3" s="10" customFormat="1" x14ac:dyDescent="0.25">
      <c r="A903" s="10" t="str">
        <f>"0611861476100"</f>
        <v>0611861476100</v>
      </c>
      <c r="B903" s="10" t="str">
        <f>"CN5061"</f>
        <v>CN5061</v>
      </c>
      <c r="C903" s="10" t="s">
        <v>882</v>
      </c>
    </row>
    <row r="904" spans="1:3" s="10" customFormat="1" x14ac:dyDescent="0.25">
      <c r="A904" s="10" t="str">
        <f>"0611861477100"</f>
        <v>0611861477100</v>
      </c>
      <c r="B904" s="10" t="str">
        <f>"CN5033"</f>
        <v>CN5033</v>
      </c>
      <c r="C904" s="10" t="s">
        <v>883</v>
      </c>
    </row>
    <row r="905" spans="1:3" s="10" customFormat="1" x14ac:dyDescent="0.25">
      <c r="A905" s="10" t="str">
        <f>"0611861479050"</f>
        <v>0611861479050</v>
      </c>
      <c r="B905" s="10" t="str">
        <f>"CR3783"</f>
        <v>CR3783</v>
      </c>
      <c r="C905" s="10" t="s">
        <v>884</v>
      </c>
    </row>
    <row r="906" spans="1:3" s="10" customFormat="1" x14ac:dyDescent="0.25">
      <c r="A906" s="10" t="str">
        <f>"0611861480100"</f>
        <v>0611861480100</v>
      </c>
      <c r="B906" s="10" t="str">
        <f>"CN5045"</f>
        <v>CN5045</v>
      </c>
      <c r="C906" s="10" t="s">
        <v>885</v>
      </c>
    </row>
    <row r="907" spans="1:3" s="10" customFormat="1" x14ac:dyDescent="0.25">
      <c r="A907" s="10" t="str">
        <f>"0611861481100"</f>
        <v>0611861481100</v>
      </c>
      <c r="B907" s="10" t="str">
        <f>"CN5036"</f>
        <v>CN5036</v>
      </c>
      <c r="C907" s="10" t="s">
        <v>886</v>
      </c>
    </row>
    <row r="908" spans="1:3" s="10" customFormat="1" x14ac:dyDescent="0.25">
      <c r="A908" s="10" t="str">
        <f>"0611861482100"</f>
        <v>0611861482100</v>
      </c>
      <c r="B908" s="10" t="str">
        <f>"CN5035"</f>
        <v>CN5035</v>
      </c>
      <c r="C908" s="10" t="s">
        <v>887</v>
      </c>
    </row>
    <row r="909" spans="1:3" s="10" customFormat="1" x14ac:dyDescent="0.25">
      <c r="A909" s="10" t="str">
        <f>"0611861483100"</f>
        <v>0611861483100</v>
      </c>
      <c r="B909" s="10" t="str">
        <f>"CN2346"</f>
        <v>CN2346</v>
      </c>
      <c r="C909" s="10" t="s">
        <v>888</v>
      </c>
    </row>
    <row r="910" spans="1:3" s="10" customFormat="1" x14ac:dyDescent="0.25">
      <c r="A910" s="10" t="str">
        <f>"0611861484100"</f>
        <v>0611861484100</v>
      </c>
      <c r="B910" s="10" t="str">
        <f>"CN5062"</f>
        <v>CN5062</v>
      </c>
      <c r="C910" s="10" t="s">
        <v>889</v>
      </c>
    </row>
    <row r="911" spans="1:3" s="10" customFormat="1" x14ac:dyDescent="0.25">
      <c r="A911" s="10" t="str">
        <f>"0611861485100"</f>
        <v>0611861485100</v>
      </c>
      <c r="B911" s="10" t="str">
        <f>"CN5063"</f>
        <v>CN5063</v>
      </c>
      <c r="C911" s="10" t="s">
        <v>890</v>
      </c>
    </row>
    <row r="912" spans="1:3" s="10" customFormat="1" x14ac:dyDescent="0.25">
      <c r="A912" s="10" t="str">
        <f>"0611861486050"</f>
        <v>0611861486050</v>
      </c>
      <c r="B912" s="10" t="str">
        <f>"CR4229"</f>
        <v>CR4229</v>
      </c>
      <c r="C912" s="10" t="s">
        <v>891</v>
      </c>
    </row>
    <row r="913" spans="1:3" s="10" customFormat="1" x14ac:dyDescent="0.25">
      <c r="A913" s="10" t="str">
        <f>"0611861487100"</f>
        <v>0611861487100</v>
      </c>
      <c r="B913" s="10" t="str">
        <f>"CN5064"</f>
        <v>CN5064</v>
      </c>
      <c r="C913" s="10" t="s">
        <v>892</v>
      </c>
    </row>
    <row r="914" spans="1:3" s="10" customFormat="1" x14ac:dyDescent="0.25">
      <c r="A914" s="10" t="str">
        <f>"0611861488100"</f>
        <v>0611861488100</v>
      </c>
      <c r="B914" s="10" t="str">
        <f>"CN5040"</f>
        <v>CN5040</v>
      </c>
      <c r="C914" s="10" t="s">
        <v>893</v>
      </c>
    </row>
    <row r="915" spans="1:3" s="10" customFormat="1" x14ac:dyDescent="0.25">
      <c r="A915" s="10" t="str">
        <f>"0611861495100"</f>
        <v>0611861495100</v>
      </c>
      <c r="B915" s="10" t="str">
        <f>"CN5043"</f>
        <v>CN5043</v>
      </c>
      <c r="C915" s="10" t="s">
        <v>894</v>
      </c>
    </row>
    <row r="916" spans="1:3" s="10" customFormat="1" x14ac:dyDescent="0.25">
      <c r="A916" s="10" t="str">
        <f>"0611861496100"</f>
        <v>0611861496100</v>
      </c>
      <c r="B916" s="10" t="str">
        <f>"CN5044"</f>
        <v>CN5044</v>
      </c>
      <c r="C916" s="10" t="s">
        <v>895</v>
      </c>
    </row>
    <row r="917" spans="1:3" s="10" customFormat="1" x14ac:dyDescent="0.25">
      <c r="A917" s="10" t="str">
        <f>"0611861497050"</f>
        <v>0611861497050</v>
      </c>
      <c r="B917" s="10" t="str">
        <f>"CR4215"</f>
        <v>CR4215</v>
      </c>
      <c r="C917" s="10" t="s">
        <v>896</v>
      </c>
    </row>
    <row r="918" spans="1:3" s="10" customFormat="1" x14ac:dyDescent="0.25">
      <c r="A918" s="10" t="str">
        <f>"0611861499100"</f>
        <v>0611861499100</v>
      </c>
      <c r="B918" s="10" t="str">
        <f>"CN5037"</f>
        <v>CN5037</v>
      </c>
      <c r="C918" s="10" t="s">
        <v>897</v>
      </c>
    </row>
    <row r="919" spans="1:3" s="10" customFormat="1" x14ac:dyDescent="0.25">
      <c r="A919" s="10" t="str">
        <f>"0611861500100"</f>
        <v>0611861500100</v>
      </c>
      <c r="B919" s="10" t="str">
        <f>"CN5046"</f>
        <v>CN5046</v>
      </c>
      <c r="C919" s="10" t="s">
        <v>898</v>
      </c>
    </row>
    <row r="920" spans="1:3" s="10" customFormat="1" x14ac:dyDescent="0.25">
      <c r="A920" s="10" t="str">
        <f>"0611884144100"</f>
        <v>0611884144100</v>
      </c>
      <c r="B920" s="10" t="str">
        <f>"CN2010"</f>
        <v>CN2010</v>
      </c>
      <c r="C920" s="10" t="s">
        <v>899</v>
      </c>
    </row>
    <row r="921" spans="1:3" s="10" customFormat="1" x14ac:dyDescent="0.25">
      <c r="A921" s="10" t="str">
        <f>"0611861502100"</f>
        <v>0611861502100</v>
      </c>
      <c r="B921" s="10" t="str">
        <f>"CN2011"</f>
        <v>CN2011</v>
      </c>
      <c r="C921" s="10" t="s">
        <v>900</v>
      </c>
    </row>
    <row r="922" spans="1:3" s="10" customFormat="1" x14ac:dyDescent="0.25">
      <c r="A922" s="10" t="str">
        <f>"0611861503100"</f>
        <v>0611861503100</v>
      </c>
      <c r="B922" s="10" t="str">
        <f>"CN2012"</f>
        <v>CN2012</v>
      </c>
      <c r="C922" s="10" t="s">
        <v>901</v>
      </c>
    </row>
    <row r="923" spans="1:3" s="10" customFormat="1" x14ac:dyDescent="0.25">
      <c r="A923" s="10" t="str">
        <f>"0611861504100"</f>
        <v>0611861504100</v>
      </c>
      <c r="B923" s="10" t="str">
        <f>"CN2014"</f>
        <v>CN2014</v>
      </c>
      <c r="C923" s="10" t="s">
        <v>902</v>
      </c>
    </row>
    <row r="924" spans="1:3" s="10" customFormat="1" x14ac:dyDescent="0.25">
      <c r="A924" s="10" t="str">
        <f>"0611861505100"</f>
        <v>0611861505100</v>
      </c>
      <c r="B924" s="10" t="str">
        <f>"CN2324"</f>
        <v>CN2324</v>
      </c>
      <c r="C924" s="10" t="s">
        <v>903</v>
      </c>
    </row>
    <row r="925" spans="1:3" s="10" customFormat="1" x14ac:dyDescent="0.25">
      <c r="A925" s="10" t="str">
        <f>"0611861506100"</f>
        <v>0611861506100</v>
      </c>
      <c r="B925" s="10" t="str">
        <f>"CN2016"</f>
        <v>CN2016</v>
      </c>
      <c r="C925" s="10" t="s">
        <v>904</v>
      </c>
    </row>
    <row r="926" spans="1:3" s="10" customFormat="1" x14ac:dyDescent="0.25">
      <c r="A926" s="10" t="str">
        <f>"0611861507100"</f>
        <v>0611861507100</v>
      </c>
      <c r="B926" s="10" t="str">
        <f>"CN2013"</f>
        <v>CN2013</v>
      </c>
      <c r="C926" s="10" t="s">
        <v>905</v>
      </c>
    </row>
    <row r="927" spans="1:3" s="10" customFormat="1" x14ac:dyDescent="0.25">
      <c r="A927" s="10" t="str">
        <f>"0611861508100"</f>
        <v>0611861508100</v>
      </c>
      <c r="B927" s="10" t="str">
        <f>"CN2017"</f>
        <v>CN2017</v>
      </c>
      <c r="C927" s="10" t="s">
        <v>906</v>
      </c>
    </row>
    <row r="928" spans="1:3" s="10" customFormat="1" x14ac:dyDescent="0.25">
      <c r="A928" s="10" t="str">
        <f>"0611861509100"</f>
        <v>0611861509100</v>
      </c>
      <c r="B928" s="10" t="str">
        <f>"CN2018"</f>
        <v>CN2018</v>
      </c>
      <c r="C928" s="10" t="s">
        <v>907</v>
      </c>
    </row>
    <row r="929" spans="1:3" s="10" customFormat="1" x14ac:dyDescent="0.25">
      <c r="A929" s="10" t="str">
        <f>"0611861510100"</f>
        <v>0611861510100</v>
      </c>
      <c r="B929" s="10" t="str">
        <f>"CN2019"</f>
        <v>CN2019</v>
      </c>
      <c r="C929" s="10" t="s">
        <v>908</v>
      </c>
    </row>
    <row r="930" spans="1:3" s="10" customFormat="1" x14ac:dyDescent="0.25">
      <c r="A930" s="10" t="str">
        <f>"0611861511100"</f>
        <v>0611861511100</v>
      </c>
      <c r="B930" s="10" t="str">
        <f>"CN2020"</f>
        <v>CN2020</v>
      </c>
      <c r="C930" s="10" t="s">
        <v>909</v>
      </c>
    </row>
    <row r="931" spans="1:3" s="10" customFormat="1" x14ac:dyDescent="0.25">
      <c r="A931" s="10" t="str">
        <f>"0611861512100"</f>
        <v>0611861512100</v>
      </c>
      <c r="B931" s="10" t="str">
        <f>"CN2021"</f>
        <v>CN2021</v>
      </c>
      <c r="C931" s="10" t="s">
        <v>910</v>
      </c>
    </row>
    <row r="932" spans="1:3" s="10" customFormat="1" x14ac:dyDescent="0.25">
      <c r="A932" s="10" t="str">
        <f>"0611861513100"</f>
        <v>0611861513100</v>
      </c>
      <c r="B932" s="10" t="str">
        <f>"CN2030"</f>
        <v>CN2030</v>
      </c>
      <c r="C932" s="10" t="s">
        <v>911</v>
      </c>
    </row>
    <row r="933" spans="1:3" s="10" customFormat="1" x14ac:dyDescent="0.25">
      <c r="A933" s="10" t="str">
        <f>"0611861514100"</f>
        <v>0611861514100</v>
      </c>
      <c r="B933" s="10" t="str">
        <f>"CN2022"</f>
        <v>CN2022</v>
      </c>
      <c r="C933" s="10" t="s">
        <v>912</v>
      </c>
    </row>
    <row r="934" spans="1:3" s="10" customFormat="1" x14ac:dyDescent="0.25">
      <c r="A934" s="10" t="str">
        <f>"0611861515100"</f>
        <v>0611861515100</v>
      </c>
      <c r="B934" s="10" t="str">
        <f>"CN2024"</f>
        <v>CN2024</v>
      </c>
      <c r="C934" s="10" t="s">
        <v>913</v>
      </c>
    </row>
    <row r="935" spans="1:3" s="10" customFormat="1" x14ac:dyDescent="0.25">
      <c r="A935" s="10" t="str">
        <f>"0611861516100"</f>
        <v>0611861516100</v>
      </c>
      <c r="B935" s="10" t="str">
        <f>"CN2025"</f>
        <v>CN2025</v>
      </c>
      <c r="C935" s="10" t="s">
        <v>914</v>
      </c>
    </row>
    <row r="936" spans="1:3" s="10" customFormat="1" x14ac:dyDescent="0.25">
      <c r="A936" s="10" t="str">
        <f>"0611861517100"</f>
        <v>0611861517100</v>
      </c>
      <c r="B936" s="10" t="str">
        <f>"CN2028"</f>
        <v>CN2028</v>
      </c>
      <c r="C936" s="10" t="s">
        <v>915</v>
      </c>
    </row>
    <row r="937" spans="1:3" s="10" customFormat="1" x14ac:dyDescent="0.25">
      <c r="A937" s="10" t="str">
        <f>"0611861518100"</f>
        <v>0611861518100</v>
      </c>
      <c r="B937" s="10" t="str">
        <f>"CN2029"</f>
        <v>CN2029</v>
      </c>
      <c r="C937" s="10" t="s">
        <v>916</v>
      </c>
    </row>
    <row r="938" spans="1:3" s="10" customFormat="1" x14ac:dyDescent="0.25">
      <c r="A938" s="10" t="str">
        <f>"0611861519100"</f>
        <v>0611861519100</v>
      </c>
      <c r="B938" s="10" t="str">
        <f>"CN2241"</f>
        <v>CN2241</v>
      </c>
      <c r="C938" s="10" t="s">
        <v>917</v>
      </c>
    </row>
    <row r="939" spans="1:3" s="10" customFormat="1" x14ac:dyDescent="0.25">
      <c r="A939" s="10" t="str">
        <f>"0611861521100"</f>
        <v>0611861521100</v>
      </c>
      <c r="B939" s="10" t="str">
        <f>"CN2026"</f>
        <v>CN2026</v>
      </c>
      <c r="C939" s="10" t="s">
        <v>918</v>
      </c>
    </row>
    <row r="940" spans="1:3" s="10" customFormat="1" x14ac:dyDescent="0.25">
      <c r="A940" s="10" t="str">
        <f>"0611861523100"</f>
        <v>0611861523100</v>
      </c>
      <c r="B940" s="10" t="str">
        <f>"CN2027"</f>
        <v>CN2027</v>
      </c>
      <c r="C940" s="10" t="s">
        <v>919</v>
      </c>
    </row>
    <row r="941" spans="1:3" s="10" customFormat="1" x14ac:dyDescent="0.25">
      <c r="A941" s="10" t="str">
        <f>"0611861524050"</f>
        <v>0611861524050</v>
      </c>
      <c r="B941" s="10" t="str">
        <f>"CR3323"</f>
        <v>CR3323</v>
      </c>
      <c r="C941" s="10" t="s">
        <v>920</v>
      </c>
    </row>
    <row r="942" spans="1:3" s="10" customFormat="1" x14ac:dyDescent="0.25">
      <c r="A942" s="10" t="str">
        <f>"0611861525050"</f>
        <v>0611861525050</v>
      </c>
      <c r="B942" s="10" t="str">
        <f>"CR5069"</f>
        <v>CR5069</v>
      </c>
      <c r="C942" s="10" t="s">
        <v>921</v>
      </c>
    </row>
    <row r="943" spans="1:3" s="10" customFormat="1" x14ac:dyDescent="0.25">
      <c r="A943" s="10" t="str">
        <f>"0611861526050"</f>
        <v>0611861526050</v>
      </c>
      <c r="B943" s="10" t="str">
        <f>"CR4815"</f>
        <v>CR4815</v>
      </c>
      <c r="C943" s="10" t="s">
        <v>922</v>
      </c>
    </row>
    <row r="944" spans="1:3" s="10" customFormat="1" x14ac:dyDescent="0.25">
      <c r="A944" s="10" t="str">
        <f>"0611861528050"</f>
        <v>0611861528050</v>
      </c>
      <c r="B944" s="10" t="str">
        <f>"CR4957"</f>
        <v>CR4957</v>
      </c>
      <c r="C944" s="10" t="s">
        <v>923</v>
      </c>
    </row>
    <row r="945" spans="1:3" s="10" customFormat="1" x14ac:dyDescent="0.25">
      <c r="A945" s="10" t="str">
        <f>"0611861529050"</f>
        <v>0611861529050</v>
      </c>
      <c r="B945" s="10" t="str">
        <f>"CR3516"</f>
        <v>CR3516</v>
      </c>
      <c r="C945" s="10" t="s">
        <v>924</v>
      </c>
    </row>
    <row r="946" spans="1:3" s="10" customFormat="1" x14ac:dyDescent="0.25">
      <c r="A946" s="10" t="str">
        <f>"0611861530050"</f>
        <v>0611861530050</v>
      </c>
      <c r="B946" s="10" t="str">
        <f>"CR3517"</f>
        <v>CR3517</v>
      </c>
      <c r="C946" s="10" t="s">
        <v>925</v>
      </c>
    </row>
    <row r="947" spans="1:3" s="10" customFormat="1" x14ac:dyDescent="0.25">
      <c r="A947" s="10" t="str">
        <f>"0611861531050"</f>
        <v>0611861531050</v>
      </c>
      <c r="B947" s="10" t="str">
        <f>"CR3518"</f>
        <v>CR3518</v>
      </c>
      <c r="C947" s="10" t="s">
        <v>926</v>
      </c>
    </row>
    <row r="948" spans="1:3" s="10" customFormat="1" x14ac:dyDescent="0.25">
      <c r="A948" s="10" t="str">
        <f>"0611861532050"</f>
        <v>0611861532050</v>
      </c>
      <c r="B948" s="10" t="str">
        <f>"CR3519"</f>
        <v>CR3519</v>
      </c>
      <c r="C948" s="10" t="s">
        <v>927</v>
      </c>
    </row>
    <row r="949" spans="1:3" s="10" customFormat="1" x14ac:dyDescent="0.25">
      <c r="A949" s="10" t="str">
        <f>"0611861533050"</f>
        <v>0611861533050</v>
      </c>
      <c r="B949" s="10" t="str">
        <f>"CR4814"</f>
        <v>CR4814</v>
      </c>
      <c r="C949" s="10" t="s">
        <v>928</v>
      </c>
    </row>
    <row r="950" spans="1:3" s="10" customFormat="1" x14ac:dyDescent="0.25">
      <c r="A950" s="10" t="str">
        <f>"0611861534050"</f>
        <v>0611861534050</v>
      </c>
      <c r="B950" s="10" t="str">
        <f>"CR2154"</f>
        <v>CR2154</v>
      </c>
      <c r="C950" s="10" t="s">
        <v>929</v>
      </c>
    </row>
    <row r="951" spans="1:3" s="10" customFormat="1" x14ac:dyDescent="0.25">
      <c r="A951" s="10" t="str">
        <f>"0611861535050"</f>
        <v>0611861535050</v>
      </c>
      <c r="B951" s="10" t="str">
        <f>"CR3210"</f>
        <v>CR3210</v>
      </c>
      <c r="C951" s="10" t="s">
        <v>930</v>
      </c>
    </row>
    <row r="952" spans="1:3" s="10" customFormat="1" x14ac:dyDescent="0.25">
      <c r="A952" s="10" t="str">
        <f>"0611861536050"</f>
        <v>0611861536050</v>
      </c>
      <c r="B952" s="10" t="str">
        <f>"CR3520"</f>
        <v>CR3520</v>
      </c>
      <c r="C952" s="10" t="s">
        <v>931</v>
      </c>
    </row>
    <row r="953" spans="1:3" s="10" customFormat="1" x14ac:dyDescent="0.25">
      <c r="A953" s="10" t="str">
        <f>"0611861537050"</f>
        <v>0611861537050</v>
      </c>
      <c r="B953" s="10" t="str">
        <f>"CR3264"</f>
        <v>CR3264</v>
      </c>
      <c r="C953" s="10" t="s">
        <v>932</v>
      </c>
    </row>
    <row r="954" spans="1:3" s="10" customFormat="1" x14ac:dyDescent="0.25">
      <c r="A954" s="10" t="str">
        <f>"0611861552050"</f>
        <v>0611861552050</v>
      </c>
      <c r="B954" s="10" t="str">
        <f>"CR2171"</f>
        <v>CR2171</v>
      </c>
      <c r="C954" s="10" t="s">
        <v>933</v>
      </c>
    </row>
    <row r="955" spans="1:3" s="10" customFormat="1" x14ac:dyDescent="0.25">
      <c r="A955" s="10" t="str">
        <f>"0611861553050"</f>
        <v>0611861553050</v>
      </c>
      <c r="B955" s="10" t="str">
        <f>"CR2172"</f>
        <v>CR2172</v>
      </c>
      <c r="C955" s="10" t="s">
        <v>934</v>
      </c>
    </row>
    <row r="956" spans="1:3" s="10" customFormat="1" x14ac:dyDescent="0.25">
      <c r="A956" s="10" t="str">
        <f>"0611861554050"</f>
        <v>0611861554050</v>
      </c>
      <c r="B956" s="10" t="str">
        <f>"CR2173"</f>
        <v>CR2173</v>
      </c>
      <c r="C956" s="10" t="s">
        <v>935</v>
      </c>
    </row>
    <row r="957" spans="1:3" s="10" customFormat="1" x14ac:dyDescent="0.25">
      <c r="A957" s="10" t="str">
        <f>"0611861556050"</f>
        <v>0611861556050</v>
      </c>
      <c r="B957" s="10" t="str">
        <f>"CR2175"</f>
        <v>CR2175</v>
      </c>
      <c r="C957" s="10" t="s">
        <v>936</v>
      </c>
    </row>
    <row r="958" spans="1:3" s="10" customFormat="1" x14ac:dyDescent="0.25">
      <c r="A958" s="10" t="str">
        <f>"0611861557050"</f>
        <v>0611861557050</v>
      </c>
      <c r="B958" s="10" t="str">
        <f>"CR2176"</f>
        <v>CR2176</v>
      </c>
      <c r="C958" s="10" t="s">
        <v>937</v>
      </c>
    </row>
    <row r="959" spans="1:3" s="10" customFormat="1" x14ac:dyDescent="0.25">
      <c r="A959" s="10" t="str">
        <f>"0611861558050"</f>
        <v>0611861558050</v>
      </c>
      <c r="B959" s="10" t="str">
        <f>"CR2177"</f>
        <v>CR2177</v>
      </c>
      <c r="C959" s="10" t="s">
        <v>938</v>
      </c>
    </row>
    <row r="960" spans="1:3" s="10" customFormat="1" x14ac:dyDescent="0.25">
      <c r="A960" s="10" t="str">
        <f>"0611861559050"</f>
        <v>0611861559050</v>
      </c>
      <c r="B960" s="10" t="str">
        <f>"CR2178"</f>
        <v>CR2178</v>
      </c>
      <c r="C960" s="10" t="s">
        <v>939</v>
      </c>
    </row>
    <row r="961" spans="1:3" s="10" customFormat="1" x14ac:dyDescent="0.25">
      <c r="A961" s="10" t="str">
        <f>"0611861560050"</f>
        <v>0611861560050</v>
      </c>
      <c r="B961" s="10" t="str">
        <f>"CR2179"</f>
        <v>CR2179</v>
      </c>
      <c r="C961" s="10" t="s">
        <v>940</v>
      </c>
    </row>
    <row r="962" spans="1:3" s="10" customFormat="1" x14ac:dyDescent="0.25">
      <c r="A962" s="10" t="str">
        <f>"0611861561050"</f>
        <v>0611861561050</v>
      </c>
      <c r="B962" s="10" t="str">
        <f>"CR2180"</f>
        <v>CR2180</v>
      </c>
      <c r="C962" s="10" t="s">
        <v>941</v>
      </c>
    </row>
    <row r="963" spans="1:3" s="10" customFormat="1" x14ac:dyDescent="0.25">
      <c r="A963" s="10" t="str">
        <f>"0611861562050"</f>
        <v>0611861562050</v>
      </c>
      <c r="B963" s="10" t="str">
        <f>"CR2181"</f>
        <v>CR2181</v>
      </c>
      <c r="C963" s="10" t="s">
        <v>942</v>
      </c>
    </row>
    <row r="964" spans="1:3" s="10" customFormat="1" x14ac:dyDescent="0.25">
      <c r="A964" s="10" t="str">
        <f>"0611861563050"</f>
        <v>0611861563050</v>
      </c>
      <c r="B964" s="10" t="str">
        <f>"CR2182"</f>
        <v>CR2182</v>
      </c>
      <c r="C964" s="10" t="s">
        <v>943</v>
      </c>
    </row>
    <row r="965" spans="1:3" s="10" customFormat="1" x14ac:dyDescent="0.25">
      <c r="A965" s="10" t="str">
        <f>"0611861565050"</f>
        <v>0611861565050</v>
      </c>
      <c r="B965" s="10" t="str">
        <f>"CR2632"</f>
        <v>CR2632</v>
      </c>
      <c r="C965" s="10" t="s">
        <v>945</v>
      </c>
    </row>
    <row r="966" spans="1:3" s="10" customFormat="1" x14ac:dyDescent="0.25">
      <c r="A966" s="10" t="str">
        <f>"0611861566050"</f>
        <v>0611861566050</v>
      </c>
      <c r="B966" s="10" t="str">
        <f>"CR3199"</f>
        <v>CR3199</v>
      </c>
      <c r="C966" s="10" t="s">
        <v>946</v>
      </c>
    </row>
    <row r="967" spans="1:3" s="10" customFormat="1" x14ac:dyDescent="0.25">
      <c r="A967" s="10" t="str">
        <f>"0611861564050"</f>
        <v>0611861564050</v>
      </c>
      <c r="B967" s="10" t="str">
        <f>"CR2183"</f>
        <v>CR2183</v>
      </c>
      <c r="C967" s="10" t="s">
        <v>944</v>
      </c>
    </row>
    <row r="968" spans="1:3" s="10" customFormat="1" x14ac:dyDescent="0.25">
      <c r="A968" s="10" t="str">
        <f>"0611861595050"</f>
        <v>0611861595050</v>
      </c>
      <c r="B968" s="10" t="str">
        <f>"CR3521"</f>
        <v>CR3521</v>
      </c>
      <c r="C968" s="10" t="s">
        <v>947</v>
      </c>
    </row>
    <row r="969" spans="1:3" s="10" customFormat="1" x14ac:dyDescent="0.25">
      <c r="A969" s="10" t="str">
        <f>"0611906558050"</f>
        <v>0611906558050</v>
      </c>
      <c r="B969" s="10" t="str">
        <f>"CR5486"</f>
        <v>CR5486</v>
      </c>
      <c r="C969" s="10" t="s">
        <v>948</v>
      </c>
    </row>
    <row r="970" spans="1:3" s="10" customFormat="1" x14ac:dyDescent="0.25">
      <c r="A970" s="10" t="str">
        <f>"0611861596050"</f>
        <v>0611861596050</v>
      </c>
      <c r="B970" s="10" t="str">
        <f>"CR3882"</f>
        <v>CR3882</v>
      </c>
      <c r="C970" s="10" t="s">
        <v>949</v>
      </c>
    </row>
    <row r="971" spans="1:3" s="10" customFormat="1" x14ac:dyDescent="0.25">
      <c r="A971" s="10" t="str">
        <f>"0611861597050"</f>
        <v>0611861597050</v>
      </c>
      <c r="B971" s="10" t="str">
        <f>"CR3523"</f>
        <v>CR3523</v>
      </c>
      <c r="C971" s="10" t="s">
        <v>950</v>
      </c>
    </row>
    <row r="972" spans="1:3" s="10" customFormat="1" x14ac:dyDescent="0.25">
      <c r="A972" s="10" t="str">
        <f>"0611861598050"</f>
        <v>0611861598050</v>
      </c>
      <c r="B972" s="10" t="str">
        <f>"CR3883"</f>
        <v>CR3883</v>
      </c>
      <c r="C972" s="10" t="s">
        <v>951</v>
      </c>
    </row>
    <row r="973" spans="1:3" s="10" customFormat="1" x14ac:dyDescent="0.25">
      <c r="A973" s="10" t="str">
        <f>"0611861599050"</f>
        <v>0611861599050</v>
      </c>
      <c r="B973" s="10" t="str">
        <f>"CR2161"</f>
        <v>CR2161</v>
      </c>
      <c r="C973" s="10" t="s">
        <v>952</v>
      </c>
    </row>
    <row r="974" spans="1:3" s="10" customFormat="1" x14ac:dyDescent="0.25">
      <c r="A974" s="10" t="str">
        <f>"0611861600050"</f>
        <v>0611861600050</v>
      </c>
      <c r="B974" s="10" t="str">
        <f>"CR4816"</f>
        <v>CR4816</v>
      </c>
      <c r="C974" s="10" t="s">
        <v>953</v>
      </c>
    </row>
    <row r="975" spans="1:3" s="10" customFormat="1" x14ac:dyDescent="0.25">
      <c r="A975" s="10" t="str">
        <f>"0611861601050"</f>
        <v>0611861601050</v>
      </c>
      <c r="B975" s="10" t="str">
        <f>"CR2162"</f>
        <v>CR2162</v>
      </c>
      <c r="C975" s="10" t="s">
        <v>954</v>
      </c>
    </row>
    <row r="976" spans="1:3" s="10" customFormat="1" x14ac:dyDescent="0.25">
      <c r="A976" s="10" t="str">
        <f>"0611861602050"</f>
        <v>0611861602050</v>
      </c>
      <c r="B976" s="10" t="str">
        <f>"CR2163"</f>
        <v>CR2163</v>
      </c>
      <c r="C976" s="10" t="s">
        <v>955</v>
      </c>
    </row>
    <row r="977" spans="1:3" s="10" customFormat="1" x14ac:dyDescent="0.25">
      <c r="A977" s="10" t="str">
        <f>"0611861603050"</f>
        <v>0611861603050</v>
      </c>
      <c r="B977" s="10" t="str">
        <f>"CR3524"</f>
        <v>CR3524</v>
      </c>
      <c r="C977" s="10" t="s">
        <v>956</v>
      </c>
    </row>
    <row r="978" spans="1:3" s="10" customFormat="1" x14ac:dyDescent="0.25">
      <c r="A978" s="10" t="str">
        <f>"0611861604050"</f>
        <v>0611861604050</v>
      </c>
      <c r="B978" s="10" t="str">
        <f>"CR5180"</f>
        <v>CR5180</v>
      </c>
      <c r="C978" s="10" t="s">
        <v>957</v>
      </c>
    </row>
    <row r="979" spans="1:3" s="10" customFormat="1" x14ac:dyDescent="0.25">
      <c r="A979" s="10" t="str">
        <f>"0611861605050"</f>
        <v>0611861605050</v>
      </c>
      <c r="B979" s="10" t="str">
        <f>"CR2164"</f>
        <v>CR2164</v>
      </c>
      <c r="C979" s="10" t="s">
        <v>958</v>
      </c>
    </row>
    <row r="980" spans="1:3" s="10" customFormat="1" x14ac:dyDescent="0.25">
      <c r="A980" s="10" t="str">
        <f>"0611861606050"</f>
        <v>0611861606050</v>
      </c>
      <c r="B980" s="10" t="str">
        <f>"CR2165"</f>
        <v>CR2165</v>
      </c>
      <c r="C980" s="10" t="s">
        <v>959</v>
      </c>
    </row>
    <row r="981" spans="1:3" s="10" customFormat="1" x14ac:dyDescent="0.25">
      <c r="A981" s="10" t="str">
        <f>"0611861607050"</f>
        <v>0611861607050</v>
      </c>
      <c r="B981" s="10" t="str">
        <f>"CR2166"</f>
        <v>CR2166</v>
      </c>
      <c r="C981" s="10" t="s">
        <v>960</v>
      </c>
    </row>
    <row r="982" spans="1:3" s="10" customFormat="1" x14ac:dyDescent="0.25">
      <c r="A982" s="10" t="str">
        <f>"0611861608050"</f>
        <v>0611861608050</v>
      </c>
      <c r="B982" s="10" t="str">
        <f>"CR2167"</f>
        <v>CR2167</v>
      </c>
      <c r="C982" s="10" t="s">
        <v>961</v>
      </c>
    </row>
    <row r="983" spans="1:3" s="10" customFormat="1" x14ac:dyDescent="0.25">
      <c r="A983" s="10" t="str">
        <f>"0611861609050"</f>
        <v>0611861609050</v>
      </c>
      <c r="B983" s="10" t="str">
        <f>"CR5181"</f>
        <v>CR5181</v>
      </c>
      <c r="C983" s="10" t="s">
        <v>962</v>
      </c>
    </row>
    <row r="984" spans="1:3" s="10" customFormat="1" x14ac:dyDescent="0.25">
      <c r="A984" s="10" t="str">
        <f>"0611861610050"</f>
        <v>0611861610050</v>
      </c>
      <c r="B984" s="10" t="str">
        <f>"CR2169"</f>
        <v>CR2169</v>
      </c>
      <c r="C984" s="10" t="s">
        <v>963</v>
      </c>
    </row>
    <row r="985" spans="1:3" s="10" customFormat="1" x14ac:dyDescent="0.25">
      <c r="A985" s="10" t="str">
        <f>"0611861611050"</f>
        <v>0611861611050</v>
      </c>
      <c r="B985" s="10" t="str">
        <f>"CR2170"</f>
        <v>CR2170</v>
      </c>
      <c r="C985" s="10" t="s">
        <v>964</v>
      </c>
    </row>
    <row r="986" spans="1:3" s="10" customFormat="1" x14ac:dyDescent="0.25">
      <c r="A986" s="10" t="str">
        <f>"0611861612050"</f>
        <v>0611861612050</v>
      </c>
      <c r="B986" s="10" t="str">
        <f>"CR2631"</f>
        <v>CR2631</v>
      </c>
      <c r="C986" s="10" t="s">
        <v>965</v>
      </c>
    </row>
    <row r="987" spans="1:3" s="10" customFormat="1" x14ac:dyDescent="0.25">
      <c r="A987" s="10" t="str">
        <f>"0611861613050"</f>
        <v>0611861613050</v>
      </c>
      <c r="B987" s="10" t="str">
        <f>"CR2156"</f>
        <v>CR2156</v>
      </c>
      <c r="C987" s="10" t="s">
        <v>966</v>
      </c>
    </row>
    <row r="988" spans="1:3" s="10" customFormat="1" x14ac:dyDescent="0.25">
      <c r="A988" s="10" t="str">
        <f>"0611861625050"</f>
        <v>0611861625050</v>
      </c>
      <c r="B988" s="10" t="str">
        <f>"CR4886"</f>
        <v>CR4886</v>
      </c>
      <c r="C988" s="10" t="s">
        <v>967</v>
      </c>
    </row>
    <row r="989" spans="1:3" s="10" customFormat="1" x14ac:dyDescent="0.25">
      <c r="A989" s="10" t="str">
        <f>"0611861626050"</f>
        <v>0611861626050</v>
      </c>
      <c r="B989" s="10" t="str">
        <f>"CR4958"</f>
        <v>CR4958</v>
      </c>
      <c r="C989" s="10" t="s">
        <v>968</v>
      </c>
    </row>
    <row r="990" spans="1:3" s="10" customFormat="1" x14ac:dyDescent="0.25">
      <c r="A990" s="10" t="str">
        <f>"0611861627050"</f>
        <v>0611861627050</v>
      </c>
      <c r="B990" s="10" t="str">
        <f>"CR5182"</f>
        <v>CR5182</v>
      </c>
      <c r="C990" s="10" t="s">
        <v>969</v>
      </c>
    </row>
    <row r="991" spans="1:3" s="10" customFormat="1" x14ac:dyDescent="0.25">
      <c r="A991" s="10" t="str">
        <f>"0611861628050"</f>
        <v>0611861628050</v>
      </c>
      <c r="B991" s="10" t="str">
        <f>"CR4959"</f>
        <v>CR4959</v>
      </c>
      <c r="C991" s="10" t="s">
        <v>970</v>
      </c>
    </row>
    <row r="992" spans="1:3" s="10" customFormat="1" x14ac:dyDescent="0.25">
      <c r="A992" s="10" t="str">
        <f>"0611861629050"</f>
        <v>0611861629050</v>
      </c>
      <c r="B992" s="10" t="str">
        <f>"CR4960"</f>
        <v>CR4960</v>
      </c>
      <c r="C992" s="10" t="s">
        <v>971</v>
      </c>
    </row>
    <row r="993" spans="1:3" s="10" customFormat="1" x14ac:dyDescent="0.25">
      <c r="A993" s="10" t="str">
        <f>"0611884154050"</f>
        <v>0611884154050</v>
      </c>
      <c r="B993" s="10" t="str">
        <f>"CR5343"</f>
        <v>CR5343</v>
      </c>
      <c r="C993" s="10" t="s">
        <v>972</v>
      </c>
    </row>
    <row r="994" spans="1:3" s="10" customFormat="1" x14ac:dyDescent="0.25">
      <c r="A994" s="10" t="str">
        <f>"0611861639050"</f>
        <v>0611861639050</v>
      </c>
      <c r="B994" s="10" t="str">
        <f>"CR3354"</f>
        <v>CR3354</v>
      </c>
      <c r="C994" s="10" t="s">
        <v>973</v>
      </c>
    </row>
    <row r="995" spans="1:3" s="10" customFormat="1" x14ac:dyDescent="0.25">
      <c r="A995" s="10" t="str">
        <f>"0611861640050"</f>
        <v>0611861640050</v>
      </c>
      <c r="B995" s="10" t="str">
        <f>"CR3525"</f>
        <v>CR3525</v>
      </c>
      <c r="C995" s="10" t="s">
        <v>974</v>
      </c>
    </row>
    <row r="996" spans="1:3" s="10" customFormat="1" x14ac:dyDescent="0.25">
      <c r="A996" s="10" t="str">
        <f>"0611861641050"</f>
        <v>0611861641050</v>
      </c>
      <c r="B996" s="10" t="str">
        <f>"CR3527"</f>
        <v>CR3527</v>
      </c>
      <c r="C996" s="10" t="s">
        <v>975</v>
      </c>
    </row>
    <row r="997" spans="1:3" s="10" customFormat="1" x14ac:dyDescent="0.25">
      <c r="A997" s="10" t="str">
        <f>"0611861642050"</f>
        <v>0611861642050</v>
      </c>
      <c r="B997" s="10" t="str">
        <f>"CR3528"</f>
        <v>CR3528</v>
      </c>
      <c r="C997" s="10" t="s">
        <v>976</v>
      </c>
    </row>
    <row r="998" spans="1:3" s="10" customFormat="1" x14ac:dyDescent="0.25">
      <c r="A998" s="10" t="str">
        <f>"0611861643050"</f>
        <v>0611861643050</v>
      </c>
      <c r="B998" s="10" t="str">
        <f>"CR3529"</f>
        <v>CR3529</v>
      </c>
      <c r="C998" s="10" t="s">
        <v>977</v>
      </c>
    </row>
    <row r="999" spans="1:3" s="10" customFormat="1" x14ac:dyDescent="0.25">
      <c r="A999" s="10" t="str">
        <f>"0611861645050"</f>
        <v>0611861645050</v>
      </c>
      <c r="B999" s="10" t="str">
        <f>"CR2932"</f>
        <v>CR2932</v>
      </c>
      <c r="C999" s="10" t="s">
        <v>978</v>
      </c>
    </row>
    <row r="1000" spans="1:3" s="10" customFormat="1" x14ac:dyDescent="0.25">
      <c r="A1000" s="10" t="str">
        <f>"0611861646050"</f>
        <v>0611861646050</v>
      </c>
      <c r="B1000" s="10" t="str">
        <f>"CR4820"</f>
        <v>CR4820</v>
      </c>
      <c r="C1000" s="10" t="s">
        <v>979</v>
      </c>
    </row>
    <row r="1001" spans="1:3" s="10" customFormat="1" x14ac:dyDescent="0.25">
      <c r="A1001" s="10" t="str">
        <f>"0611906559050"</f>
        <v>0611906559050</v>
      </c>
      <c r="B1001" s="10" t="str">
        <f>"CR5487"</f>
        <v>CR5487</v>
      </c>
      <c r="C1001" s="10" t="s">
        <v>980</v>
      </c>
    </row>
    <row r="1002" spans="1:3" s="10" customFormat="1" x14ac:dyDescent="0.25">
      <c r="A1002" s="10" t="str">
        <f>"0611861647050"</f>
        <v>0611861647050</v>
      </c>
      <c r="B1002" s="10" t="str">
        <f>"CR4823"</f>
        <v>CR4823</v>
      </c>
      <c r="C1002" s="10" t="s">
        <v>981</v>
      </c>
    </row>
    <row r="1003" spans="1:3" s="10" customFormat="1" x14ac:dyDescent="0.25">
      <c r="A1003" s="10" t="str">
        <f>"0611893577050"</f>
        <v>0611893577050</v>
      </c>
      <c r="B1003" s="10" t="str">
        <f>"CR5064"</f>
        <v>CR5064</v>
      </c>
      <c r="C1003" s="10" t="s">
        <v>982</v>
      </c>
    </row>
    <row r="1004" spans="1:3" s="10" customFormat="1" x14ac:dyDescent="0.25">
      <c r="A1004" s="10" t="str">
        <f>"0611861649050"</f>
        <v>0611861649050</v>
      </c>
      <c r="B1004" s="10" t="str">
        <f>"CR4821"</f>
        <v>CR4821</v>
      </c>
      <c r="C1004" s="10" t="s">
        <v>983</v>
      </c>
    </row>
    <row r="1005" spans="1:3" s="10" customFormat="1" x14ac:dyDescent="0.25">
      <c r="A1005" s="10" t="str">
        <f>"0611861650050"</f>
        <v>0611861650050</v>
      </c>
      <c r="B1005" s="10" t="str">
        <f>"CR4819"</f>
        <v>CR4819</v>
      </c>
      <c r="C1005" s="10" t="s">
        <v>984</v>
      </c>
    </row>
    <row r="1006" spans="1:3" s="10" customFormat="1" x14ac:dyDescent="0.25">
      <c r="A1006" s="10" t="str">
        <f>"0611861651050"</f>
        <v>0611861651050</v>
      </c>
      <c r="B1006" s="10" t="str">
        <f>"CR4818"</f>
        <v>CR4818</v>
      </c>
      <c r="C1006" s="10" t="s">
        <v>985</v>
      </c>
    </row>
    <row r="1007" spans="1:3" s="10" customFormat="1" x14ac:dyDescent="0.25">
      <c r="A1007" s="10" t="str">
        <f>"0611861652050"</f>
        <v>0611861652050</v>
      </c>
      <c r="B1007" s="10" t="str">
        <f>"CR4822"</f>
        <v>CR4822</v>
      </c>
      <c r="C1007" s="10" t="s">
        <v>986</v>
      </c>
    </row>
    <row r="1008" spans="1:3" s="10" customFormat="1" x14ac:dyDescent="0.25">
      <c r="A1008" s="10" t="str">
        <f>"0611861653050"</f>
        <v>0611861653050</v>
      </c>
      <c r="B1008" s="10" t="str">
        <f>"CR4817"</f>
        <v>CR4817</v>
      </c>
      <c r="C1008" s="10" t="s">
        <v>987</v>
      </c>
    </row>
    <row r="1009" spans="1:3" s="10" customFormat="1" x14ac:dyDescent="0.25">
      <c r="A1009" s="10" t="str">
        <f>"0611884158050"</f>
        <v>0611884158050</v>
      </c>
      <c r="B1009" s="10" t="str">
        <f>"CR5390"</f>
        <v>CR5390</v>
      </c>
      <c r="C1009" s="10" t="s">
        <v>988</v>
      </c>
    </row>
    <row r="1010" spans="1:3" s="10" customFormat="1" x14ac:dyDescent="0.25">
      <c r="A1010" s="10" t="str">
        <f>"0611884159050"</f>
        <v>0611884159050</v>
      </c>
      <c r="B1010" s="10" t="str">
        <f>"CR5391"</f>
        <v>CR5391</v>
      </c>
      <c r="C1010" s="10" t="s">
        <v>989</v>
      </c>
    </row>
    <row r="1011" spans="1:3" s="10" customFormat="1" x14ac:dyDescent="0.25">
      <c r="A1011" s="10" t="str">
        <f>"0611884160050"</f>
        <v>0611884160050</v>
      </c>
      <c r="B1011" s="10" t="str">
        <f>"CR5349"</f>
        <v>CR5349</v>
      </c>
      <c r="C1011" s="10" t="s">
        <v>990</v>
      </c>
    </row>
    <row r="1012" spans="1:3" s="10" customFormat="1" x14ac:dyDescent="0.25">
      <c r="A1012" s="10" t="str">
        <f>"0611884161050"</f>
        <v>0611884161050</v>
      </c>
      <c r="B1012" s="10" t="str">
        <f>"CR5350"</f>
        <v>CR5350</v>
      </c>
      <c r="C1012" s="10" t="s">
        <v>991</v>
      </c>
    </row>
    <row r="1013" spans="1:3" s="10" customFormat="1" x14ac:dyDescent="0.25">
      <c r="A1013" s="10" t="str">
        <f>"0611884162050"</f>
        <v>0611884162050</v>
      </c>
      <c r="B1013" s="10" t="str">
        <f>"CR5377"</f>
        <v>CR5377</v>
      </c>
      <c r="C1013" s="10" t="s">
        <v>992</v>
      </c>
    </row>
    <row r="1014" spans="1:3" s="10" customFormat="1" x14ac:dyDescent="0.25">
      <c r="A1014" s="10" t="str">
        <f>"0611861655050"</f>
        <v>0611861655050</v>
      </c>
      <c r="B1014" s="10" t="str">
        <f>"CR2184"</f>
        <v>CR2184</v>
      </c>
      <c r="C1014" s="10" t="s">
        <v>993</v>
      </c>
    </row>
    <row r="1015" spans="1:3" s="10" customFormat="1" x14ac:dyDescent="0.25">
      <c r="A1015" s="10" t="str">
        <f>"0611861656050"</f>
        <v>0611861656050</v>
      </c>
      <c r="B1015" s="10" t="str">
        <f>"CR3213"</f>
        <v>CR3213</v>
      </c>
      <c r="C1015" s="10" t="s">
        <v>994</v>
      </c>
    </row>
    <row r="1016" spans="1:3" s="10" customFormat="1" x14ac:dyDescent="0.25">
      <c r="A1016" s="10" t="str">
        <f>"0611861657050"</f>
        <v>0611861657050</v>
      </c>
      <c r="B1016" s="10" t="str">
        <f>"CR2186"</f>
        <v>CR2186</v>
      </c>
      <c r="C1016" s="10" t="s">
        <v>995</v>
      </c>
    </row>
    <row r="1017" spans="1:3" s="10" customFormat="1" x14ac:dyDescent="0.25">
      <c r="A1017" s="10" t="str">
        <f>"0611861658050"</f>
        <v>0611861658050</v>
      </c>
      <c r="B1017" s="10" t="str">
        <f>"CR3530"</f>
        <v>CR3530</v>
      </c>
      <c r="C1017" s="10" t="s">
        <v>996</v>
      </c>
    </row>
    <row r="1018" spans="1:3" s="10" customFormat="1" x14ac:dyDescent="0.25">
      <c r="A1018" s="10" t="str">
        <f>"0611861660050"</f>
        <v>0611861660050</v>
      </c>
      <c r="B1018" s="10" t="str">
        <f>"CR2187"</f>
        <v>CR2187</v>
      </c>
      <c r="C1018" s="10" t="s">
        <v>997</v>
      </c>
    </row>
    <row r="1019" spans="1:3" s="10" customFormat="1" x14ac:dyDescent="0.25">
      <c r="A1019" s="10" t="str">
        <f>"0611861661050"</f>
        <v>0611861661050</v>
      </c>
      <c r="B1019" s="10" t="str">
        <f>"CR2934"</f>
        <v>CR2934</v>
      </c>
      <c r="C1019" s="10" t="s">
        <v>998</v>
      </c>
    </row>
    <row r="1020" spans="1:3" s="10" customFormat="1" x14ac:dyDescent="0.25">
      <c r="A1020" s="10" t="str">
        <f>"0611861662050"</f>
        <v>0611861662050</v>
      </c>
      <c r="B1020" s="10" t="str">
        <f>"CR2158"</f>
        <v>CR2158</v>
      </c>
      <c r="C1020" s="10" t="s">
        <v>999</v>
      </c>
    </row>
    <row r="1021" spans="1:3" s="10" customFormat="1" x14ac:dyDescent="0.25">
      <c r="A1021" s="10" t="str">
        <f>"0611861663050"</f>
        <v>0611861663050</v>
      </c>
      <c r="B1021" s="10" t="str">
        <f>"CR3884"</f>
        <v>CR3884</v>
      </c>
      <c r="C1021" s="10" t="s">
        <v>1000</v>
      </c>
    </row>
    <row r="1022" spans="1:3" s="10" customFormat="1" x14ac:dyDescent="0.25">
      <c r="A1022" s="10" t="str">
        <f>"0611861664050"</f>
        <v>0611861664050</v>
      </c>
      <c r="B1022" s="10" t="str">
        <f>"CR2936"</f>
        <v>CR2936</v>
      </c>
      <c r="C1022" s="10" t="s">
        <v>1001</v>
      </c>
    </row>
    <row r="1023" spans="1:3" s="10" customFormat="1" x14ac:dyDescent="0.25">
      <c r="A1023" s="10" t="str">
        <f>"0611861665050"</f>
        <v>0611861665050</v>
      </c>
      <c r="B1023" s="10" t="str">
        <f>"CR3972"</f>
        <v>CR3972</v>
      </c>
      <c r="C1023" s="10" t="s">
        <v>1002</v>
      </c>
    </row>
    <row r="1024" spans="1:3" s="10" customFormat="1" x14ac:dyDescent="0.25">
      <c r="A1024" s="10" t="str">
        <f>"0611861666050"</f>
        <v>0611861666050</v>
      </c>
      <c r="B1024" s="10" t="str">
        <f>"CR3040"</f>
        <v>CR3040</v>
      </c>
      <c r="C1024" s="10" t="s">
        <v>1003</v>
      </c>
    </row>
    <row r="1025" spans="1:3" s="10" customFormat="1" x14ac:dyDescent="0.25">
      <c r="A1025" s="10" t="str">
        <f>"0611861667050"</f>
        <v>0611861667050</v>
      </c>
      <c r="B1025" s="10" t="str">
        <f>"CR3973"</f>
        <v>CR3973</v>
      </c>
      <c r="C1025" s="10" t="s">
        <v>1004</v>
      </c>
    </row>
    <row r="1026" spans="1:3" s="10" customFormat="1" x14ac:dyDescent="0.25">
      <c r="A1026" s="10" t="str">
        <f>"0611861668050"</f>
        <v>0611861668050</v>
      </c>
      <c r="B1026" s="10" t="str">
        <f>"CR3041"</f>
        <v>CR3041</v>
      </c>
      <c r="C1026" s="10" t="s">
        <v>1005</v>
      </c>
    </row>
    <row r="1027" spans="1:3" s="10" customFormat="1" x14ac:dyDescent="0.25">
      <c r="A1027" s="10" t="str">
        <f>"0611861669050"</f>
        <v>0611861669050</v>
      </c>
      <c r="B1027" s="10" t="str">
        <f>"CR3974"</f>
        <v>CR3974</v>
      </c>
      <c r="C1027" s="10" t="s">
        <v>1006</v>
      </c>
    </row>
    <row r="1028" spans="1:3" s="10" customFormat="1" x14ac:dyDescent="0.25">
      <c r="A1028" s="10" t="str">
        <f>"0611861670050"</f>
        <v>0611861670050</v>
      </c>
      <c r="B1028" s="10" t="str">
        <f>"CR2633"</f>
        <v>CR2633</v>
      </c>
      <c r="C1028" s="10" t="s">
        <v>1007</v>
      </c>
    </row>
    <row r="1029" spans="1:3" s="10" customFormat="1" x14ac:dyDescent="0.25">
      <c r="A1029" s="10" t="str">
        <f>"0611861671050"</f>
        <v>0611861671050</v>
      </c>
      <c r="B1029" s="10" t="str">
        <f>"CR2188"</f>
        <v>CR2188</v>
      </c>
      <c r="C1029" s="10" t="s">
        <v>1008</v>
      </c>
    </row>
    <row r="1030" spans="1:3" s="10" customFormat="1" x14ac:dyDescent="0.25">
      <c r="A1030" s="10" t="str">
        <f>"0611861672050"</f>
        <v>0611861672050</v>
      </c>
      <c r="B1030" s="10" t="str">
        <f>"CR3678"</f>
        <v>CR3678</v>
      </c>
      <c r="C1030" s="10" t="s">
        <v>1009</v>
      </c>
    </row>
    <row r="1031" spans="1:3" s="10" customFormat="1" x14ac:dyDescent="0.25">
      <c r="A1031" s="10" t="str">
        <f>"0611861673050"</f>
        <v>0611861673050</v>
      </c>
      <c r="B1031" s="10" t="str">
        <f>"CR4770"</f>
        <v>CR4770</v>
      </c>
      <c r="C1031" s="10" t="s">
        <v>1010</v>
      </c>
    </row>
    <row r="1032" spans="1:3" s="10" customFormat="1" x14ac:dyDescent="0.25">
      <c r="A1032" s="10" t="str">
        <f>"0611861674050"</f>
        <v>0611861674050</v>
      </c>
      <c r="B1032" s="10" t="str">
        <f>"CR3679"</f>
        <v>CR3679</v>
      </c>
      <c r="C1032" s="10" t="s">
        <v>1011</v>
      </c>
    </row>
    <row r="1033" spans="1:3" s="10" customFormat="1" x14ac:dyDescent="0.25">
      <c r="A1033" s="10" t="str">
        <f>"0611861675050"</f>
        <v>0611861675050</v>
      </c>
      <c r="B1033" s="10" t="str">
        <f>"CR2189"</f>
        <v>CR2189</v>
      </c>
      <c r="C1033" s="10" t="s">
        <v>1012</v>
      </c>
    </row>
    <row r="1034" spans="1:3" s="10" customFormat="1" x14ac:dyDescent="0.25">
      <c r="A1034" s="10" t="str">
        <f>"0611884163050"</f>
        <v>0611884163050</v>
      </c>
      <c r="B1034" s="10" t="str">
        <f>"CR5411"</f>
        <v>CR5411</v>
      </c>
      <c r="C1034" s="10" t="s">
        <v>1013</v>
      </c>
    </row>
    <row r="1035" spans="1:3" s="10" customFormat="1" x14ac:dyDescent="0.25">
      <c r="A1035" s="10" t="str">
        <f>"0611861676050"</f>
        <v>0611861676050</v>
      </c>
      <c r="B1035" s="10" t="str">
        <f>"CR2190"</f>
        <v>CR2190</v>
      </c>
      <c r="C1035" s="10" t="s">
        <v>1014</v>
      </c>
    </row>
    <row r="1036" spans="1:3" s="10" customFormat="1" x14ac:dyDescent="0.25">
      <c r="A1036" s="10" t="str">
        <f>"0611861677050"</f>
        <v>0611861677050</v>
      </c>
      <c r="B1036" s="10" t="str">
        <f>"CR4824"</f>
        <v>CR4824</v>
      </c>
      <c r="C1036" s="10" t="s">
        <v>1015</v>
      </c>
    </row>
    <row r="1037" spans="1:3" s="10" customFormat="1" x14ac:dyDescent="0.25">
      <c r="A1037" s="10" t="str">
        <f>"0611861678050"</f>
        <v>0611861678050</v>
      </c>
      <c r="B1037" s="10" t="str">
        <f>"CR5183"</f>
        <v>CR5183</v>
      </c>
      <c r="C1037" s="10" t="s">
        <v>1016</v>
      </c>
    </row>
    <row r="1038" spans="1:3" s="10" customFormat="1" x14ac:dyDescent="0.25">
      <c r="A1038" s="10" t="str">
        <f>"0611861679050"</f>
        <v>0611861679050</v>
      </c>
      <c r="B1038" s="10" t="str">
        <f>"CR2191"</f>
        <v>CR2191</v>
      </c>
      <c r="C1038" s="10" t="s">
        <v>1017</v>
      </c>
    </row>
    <row r="1039" spans="1:3" s="10" customFormat="1" x14ac:dyDescent="0.25">
      <c r="A1039" s="10" t="str">
        <f>"0611861680050"</f>
        <v>0611861680050</v>
      </c>
      <c r="B1039" s="10" t="str">
        <f>"CR5184"</f>
        <v>CR5184</v>
      </c>
      <c r="C1039" s="10" t="s">
        <v>1018</v>
      </c>
    </row>
    <row r="1040" spans="1:3" s="10" customFormat="1" x14ac:dyDescent="0.25">
      <c r="A1040" s="10" t="str">
        <f>"0611861681050"</f>
        <v>0611861681050</v>
      </c>
      <c r="B1040" s="10" t="str">
        <f>"CR2819"</f>
        <v>CR2819</v>
      </c>
      <c r="C1040" s="10" t="s">
        <v>1019</v>
      </c>
    </row>
    <row r="1041" spans="1:3" s="10" customFormat="1" x14ac:dyDescent="0.25">
      <c r="A1041" s="10" t="str">
        <f>"0611861682050"</f>
        <v>0611861682050</v>
      </c>
      <c r="B1041" s="10" t="str">
        <f>"CR3680"</f>
        <v>CR3680</v>
      </c>
      <c r="C1041" s="10" t="s">
        <v>1020</v>
      </c>
    </row>
    <row r="1042" spans="1:3" s="10" customFormat="1" x14ac:dyDescent="0.25">
      <c r="A1042" s="10" t="str">
        <f>"0611861683050"</f>
        <v>0611861683050</v>
      </c>
      <c r="B1042" s="10" t="str">
        <f>"CR2192"</f>
        <v>CR2192</v>
      </c>
      <c r="C1042" s="10" t="s">
        <v>1021</v>
      </c>
    </row>
    <row r="1043" spans="1:3" s="10" customFormat="1" x14ac:dyDescent="0.25">
      <c r="A1043" s="10" t="str">
        <f>"0611884164050"</f>
        <v>0611884164050</v>
      </c>
      <c r="B1043" s="10" t="str">
        <f>"CR5419"</f>
        <v>CR5419</v>
      </c>
      <c r="C1043" s="10" t="s">
        <v>1022</v>
      </c>
    </row>
    <row r="1044" spans="1:3" s="10" customFormat="1" x14ac:dyDescent="0.25">
      <c r="A1044" s="10" t="str">
        <f>"0611861684050"</f>
        <v>0611861684050</v>
      </c>
      <c r="B1044" s="10" t="str">
        <f>"CR2193"</f>
        <v>CR2193</v>
      </c>
      <c r="C1044" s="10" t="s">
        <v>1023</v>
      </c>
    </row>
    <row r="1045" spans="1:3" s="10" customFormat="1" x14ac:dyDescent="0.25">
      <c r="A1045" s="10" t="str">
        <f>"0611861685050"</f>
        <v>0611861685050</v>
      </c>
      <c r="B1045" s="10" t="str">
        <f>"CR3681"</f>
        <v>CR3681</v>
      </c>
      <c r="C1045" s="10" t="s">
        <v>1024</v>
      </c>
    </row>
    <row r="1046" spans="1:3" s="10" customFormat="1" x14ac:dyDescent="0.25">
      <c r="A1046" s="10" t="str">
        <f>"0611861686050"</f>
        <v>0611861686050</v>
      </c>
      <c r="B1046" s="10" t="str">
        <f>"CR2194"</f>
        <v>CR2194</v>
      </c>
      <c r="C1046" s="10" t="s">
        <v>1025</v>
      </c>
    </row>
    <row r="1047" spans="1:3" s="10" customFormat="1" x14ac:dyDescent="0.25">
      <c r="A1047" s="10" t="str">
        <f>"0611861687050"</f>
        <v>0611861687050</v>
      </c>
      <c r="B1047" s="10" t="str">
        <f>"CR5185"</f>
        <v>CR5185</v>
      </c>
      <c r="C1047" s="10" t="s">
        <v>1026</v>
      </c>
    </row>
    <row r="1048" spans="1:3" s="10" customFormat="1" x14ac:dyDescent="0.25">
      <c r="A1048" s="10" t="str">
        <f>"0611861688050"</f>
        <v>0611861688050</v>
      </c>
      <c r="B1048" s="10" t="str">
        <f>"CR2195"</f>
        <v>CR2195</v>
      </c>
      <c r="C1048" s="10" t="s">
        <v>1027</v>
      </c>
    </row>
    <row r="1049" spans="1:3" s="10" customFormat="1" x14ac:dyDescent="0.25">
      <c r="A1049" s="10" t="str">
        <f>"0611861690100"</f>
        <v>0611861690100</v>
      </c>
      <c r="B1049" s="10" t="str">
        <f>"CN5090"</f>
        <v>CN5090</v>
      </c>
      <c r="C1049" s="10" t="s">
        <v>1028</v>
      </c>
    </row>
    <row r="1050" spans="1:3" s="10" customFormat="1" x14ac:dyDescent="0.25">
      <c r="A1050" s="10" t="str">
        <f>"0611861691100"</f>
        <v>0611861691100</v>
      </c>
      <c r="B1050" s="10" t="str">
        <f>"CN5065"</f>
        <v>CN5065</v>
      </c>
      <c r="C1050" s="10" t="s">
        <v>1029</v>
      </c>
    </row>
    <row r="1051" spans="1:3" s="10" customFormat="1" x14ac:dyDescent="0.25">
      <c r="A1051" s="10" t="str">
        <f>"0611893578100"</f>
        <v>0611893578100</v>
      </c>
      <c r="B1051" s="10" t="str">
        <f>"CN5446"</f>
        <v>CN5446</v>
      </c>
      <c r="C1051" s="10" t="s">
        <v>1030</v>
      </c>
    </row>
    <row r="1052" spans="1:3" s="10" customFormat="1" x14ac:dyDescent="0.25">
      <c r="A1052" s="10" t="str">
        <f>"0611861692100"</f>
        <v>0611861692100</v>
      </c>
      <c r="B1052" s="10" t="str">
        <f>"CN5066"</f>
        <v>CN5066</v>
      </c>
      <c r="C1052" s="10" t="s">
        <v>1031</v>
      </c>
    </row>
    <row r="1053" spans="1:3" s="10" customFormat="1" x14ac:dyDescent="0.25">
      <c r="A1053" s="10" t="str">
        <f>"0611861693100"</f>
        <v>0611861693100</v>
      </c>
      <c r="B1053" s="10" t="str">
        <f>"CN5067"</f>
        <v>CN5067</v>
      </c>
      <c r="C1053" s="10" t="s">
        <v>1032</v>
      </c>
    </row>
    <row r="1054" spans="1:3" s="10" customFormat="1" x14ac:dyDescent="0.25">
      <c r="A1054" s="10" t="str">
        <f>"0611861695100"</f>
        <v>0611861695100</v>
      </c>
      <c r="B1054" s="10" t="str">
        <f>"CN5068"</f>
        <v>CN5068</v>
      </c>
      <c r="C1054" s="10" t="s">
        <v>1033</v>
      </c>
    </row>
    <row r="1055" spans="1:3" s="10" customFormat="1" x14ac:dyDescent="0.25">
      <c r="A1055" s="10" t="str">
        <f>"0611861696100"</f>
        <v>0611861696100</v>
      </c>
      <c r="B1055" s="10" t="str">
        <f>"CN5069"</f>
        <v>CN5069</v>
      </c>
      <c r="C1055" s="10" t="s">
        <v>1034</v>
      </c>
    </row>
    <row r="1056" spans="1:3" s="10" customFormat="1" x14ac:dyDescent="0.25">
      <c r="A1056" s="10" t="str">
        <f>"0611861697100"</f>
        <v>0611861697100</v>
      </c>
      <c r="B1056" s="10" t="str">
        <f>"CN5070"</f>
        <v>CN5070</v>
      </c>
      <c r="C1056" s="10" t="s">
        <v>1035</v>
      </c>
    </row>
    <row r="1057" spans="1:3" s="10" customFormat="1" x14ac:dyDescent="0.25">
      <c r="A1057" s="10" t="str">
        <f>"0611861698100"</f>
        <v>0611861698100</v>
      </c>
      <c r="B1057" s="10" t="str">
        <f>"CN5071"</f>
        <v>CN5071</v>
      </c>
      <c r="C1057" s="10" t="s">
        <v>1036</v>
      </c>
    </row>
    <row r="1058" spans="1:3" s="10" customFormat="1" x14ac:dyDescent="0.25">
      <c r="A1058" s="10" t="str">
        <f>"0611861700100"</f>
        <v>0611861700100</v>
      </c>
      <c r="B1058" s="10" t="str">
        <f>"CN5072"</f>
        <v>CN5072</v>
      </c>
      <c r="C1058" s="10" t="s">
        <v>1037</v>
      </c>
    </row>
    <row r="1059" spans="1:3" s="10" customFormat="1" x14ac:dyDescent="0.25">
      <c r="A1059" s="10" t="str">
        <f>"0611893579100"</f>
        <v>0611893579100</v>
      </c>
      <c r="B1059" s="10" t="str">
        <f>"CN5445"</f>
        <v>CN5445</v>
      </c>
      <c r="C1059" s="10" t="s">
        <v>1038</v>
      </c>
    </row>
    <row r="1060" spans="1:3" s="10" customFormat="1" x14ac:dyDescent="0.25">
      <c r="A1060" s="10" t="str">
        <f>"0611861702100"</f>
        <v>0611861702100</v>
      </c>
      <c r="B1060" s="10" t="str">
        <f>"CN5073"</f>
        <v>CN5073</v>
      </c>
      <c r="C1060" s="10" t="s">
        <v>1039</v>
      </c>
    </row>
    <row r="1061" spans="1:3" s="10" customFormat="1" x14ac:dyDescent="0.25">
      <c r="A1061" s="10" t="str">
        <f>"0611893580100"</f>
        <v>0611893580100</v>
      </c>
      <c r="B1061" s="10" t="str">
        <f>"CN5471"</f>
        <v>CN5471</v>
      </c>
      <c r="C1061" s="10" t="s">
        <v>1040</v>
      </c>
    </row>
    <row r="1062" spans="1:3" s="10" customFormat="1" x14ac:dyDescent="0.25">
      <c r="A1062" s="10" t="str">
        <f>"0611893581100"</f>
        <v>0611893581100</v>
      </c>
      <c r="B1062" s="10" t="str">
        <f>"CN5470"</f>
        <v>CN5470</v>
      </c>
      <c r="C1062" s="10" t="s">
        <v>1041</v>
      </c>
    </row>
    <row r="1063" spans="1:3" s="10" customFormat="1" x14ac:dyDescent="0.25">
      <c r="A1063" s="10" t="str">
        <f>"0611861703100"</f>
        <v>0611861703100</v>
      </c>
      <c r="B1063" s="10" t="str">
        <f>"CN5075"</f>
        <v>CN5075</v>
      </c>
      <c r="C1063" s="10" t="s">
        <v>1042</v>
      </c>
    </row>
    <row r="1064" spans="1:3" s="10" customFormat="1" x14ac:dyDescent="0.25">
      <c r="A1064" s="10" t="str">
        <f>"0611861704100"</f>
        <v>0611861704100</v>
      </c>
      <c r="B1064" s="10" t="str">
        <f>"CN5074"</f>
        <v>CN5074</v>
      </c>
      <c r="C1064" s="10" t="s">
        <v>1043</v>
      </c>
    </row>
    <row r="1065" spans="1:3" s="10" customFormat="1" x14ac:dyDescent="0.25">
      <c r="A1065" s="10" t="str">
        <f>"0611893582100"</f>
        <v>0611893582100</v>
      </c>
      <c r="B1065" s="10" t="str">
        <f>"CN5473"</f>
        <v>CN5473</v>
      </c>
      <c r="C1065" s="10" t="s">
        <v>1044</v>
      </c>
    </row>
    <row r="1066" spans="1:3" s="10" customFormat="1" x14ac:dyDescent="0.25">
      <c r="A1066" s="10" t="str">
        <f>"0611861709100"</f>
        <v>0611861709100</v>
      </c>
      <c r="B1066" s="10" t="str">
        <f>"CN5077"</f>
        <v>CN5077</v>
      </c>
      <c r="C1066" s="10" t="s">
        <v>1045</v>
      </c>
    </row>
    <row r="1067" spans="1:3" s="10" customFormat="1" x14ac:dyDescent="0.25">
      <c r="A1067" s="10" t="str">
        <f>"0611893583100"</f>
        <v>0611893583100</v>
      </c>
      <c r="B1067" s="10" t="str">
        <f>"CN5474"</f>
        <v>CN5474</v>
      </c>
      <c r="C1067" s="10" t="s">
        <v>1046</v>
      </c>
    </row>
    <row r="1068" spans="1:3" s="10" customFormat="1" x14ac:dyDescent="0.25">
      <c r="A1068" s="10" t="str">
        <f>"0611861713100"</f>
        <v>0611861713100</v>
      </c>
      <c r="B1068" s="10" t="str">
        <f>"CN5079"</f>
        <v>CN5079</v>
      </c>
      <c r="C1068" s="10" t="s">
        <v>1047</v>
      </c>
    </row>
    <row r="1069" spans="1:3" s="10" customFormat="1" x14ac:dyDescent="0.25">
      <c r="A1069" s="10" t="str">
        <f>"0611861714100"</f>
        <v>0611861714100</v>
      </c>
      <c r="B1069" s="10" t="str">
        <f>"CN5080"</f>
        <v>CN5080</v>
      </c>
      <c r="C1069" s="10" t="s">
        <v>1048</v>
      </c>
    </row>
    <row r="1070" spans="1:3" s="10" customFormat="1" x14ac:dyDescent="0.25">
      <c r="A1070" s="10" t="str">
        <f>"0611893584100"</f>
        <v>0611893584100</v>
      </c>
      <c r="B1070" s="10" t="str">
        <f>"CN5482"</f>
        <v>CN5482</v>
      </c>
      <c r="C1070" s="10" t="s">
        <v>1049</v>
      </c>
    </row>
    <row r="1071" spans="1:3" s="10" customFormat="1" x14ac:dyDescent="0.25">
      <c r="A1071" s="10" t="str">
        <f>"0611861715100"</f>
        <v>0611861715100</v>
      </c>
      <c r="B1071" s="10" t="str">
        <f>"CN5081"</f>
        <v>CN5081</v>
      </c>
      <c r="C1071" s="10" t="s">
        <v>1050</v>
      </c>
    </row>
    <row r="1072" spans="1:3" s="10" customFormat="1" x14ac:dyDescent="0.25">
      <c r="A1072" s="10" t="str">
        <f>"0611893585100"</f>
        <v>0611893585100</v>
      </c>
      <c r="B1072" s="10" t="str">
        <f>"CN5479"</f>
        <v>CN5479</v>
      </c>
      <c r="C1072" s="10" t="s">
        <v>1051</v>
      </c>
    </row>
    <row r="1073" spans="1:3" s="10" customFormat="1" x14ac:dyDescent="0.25">
      <c r="A1073" s="10" t="str">
        <f>"0611893586100"</f>
        <v>0611893586100</v>
      </c>
      <c r="B1073" s="10" t="str">
        <f>"CN5480"</f>
        <v>CN5480</v>
      </c>
      <c r="C1073" s="10" t="s">
        <v>1052</v>
      </c>
    </row>
    <row r="1074" spans="1:3" s="10" customFormat="1" x14ac:dyDescent="0.25">
      <c r="A1074" s="10" t="str">
        <f>"0611861717100"</f>
        <v>0611861717100</v>
      </c>
      <c r="B1074" s="10" t="str">
        <f>"CN5082"</f>
        <v>CN5082</v>
      </c>
      <c r="C1074" s="10" t="s">
        <v>1053</v>
      </c>
    </row>
    <row r="1075" spans="1:3" s="10" customFormat="1" x14ac:dyDescent="0.25">
      <c r="A1075" s="10" t="str">
        <f>"0611861719050"</f>
        <v>0611861719050</v>
      </c>
      <c r="B1075" s="10" t="str">
        <f>"CR4265"</f>
        <v>CR4265</v>
      </c>
      <c r="C1075" s="10" t="s">
        <v>1054</v>
      </c>
    </row>
    <row r="1076" spans="1:3" s="10" customFormat="1" x14ac:dyDescent="0.25">
      <c r="A1076" s="10" t="str">
        <f>"0611893587100"</f>
        <v>0611893587100</v>
      </c>
      <c r="B1076" s="10" t="str">
        <f>"CN5478"</f>
        <v>CN5478</v>
      </c>
      <c r="C1076" s="10" t="s">
        <v>1055</v>
      </c>
    </row>
    <row r="1077" spans="1:3" s="10" customFormat="1" x14ac:dyDescent="0.25">
      <c r="A1077" s="10" t="str">
        <f>"0611893588100"</f>
        <v>0611893588100</v>
      </c>
      <c r="B1077" s="10" t="str">
        <f>"CN5481"</f>
        <v>CN5481</v>
      </c>
      <c r="C1077" s="10" t="s">
        <v>1056</v>
      </c>
    </row>
    <row r="1078" spans="1:3" s="10" customFormat="1" x14ac:dyDescent="0.25">
      <c r="A1078" s="10" t="str">
        <f>"0611861722100"</f>
        <v>0611861722100</v>
      </c>
      <c r="B1078" s="10" t="str">
        <f>"CN5084"</f>
        <v>CN5084</v>
      </c>
      <c r="C1078" s="10" t="s">
        <v>1057</v>
      </c>
    </row>
    <row r="1079" spans="1:3" s="10" customFormat="1" x14ac:dyDescent="0.25">
      <c r="A1079" s="10" t="str">
        <f>"0611861724100"</f>
        <v>0611861724100</v>
      </c>
      <c r="B1079" s="10" t="str">
        <f>"CN5085"</f>
        <v>CN5085</v>
      </c>
      <c r="C1079" s="10" t="s">
        <v>1058</v>
      </c>
    </row>
    <row r="1080" spans="1:3" s="10" customFormat="1" x14ac:dyDescent="0.25">
      <c r="A1080" s="10" t="str">
        <f>"0611861725100"</f>
        <v>0611861725100</v>
      </c>
      <c r="B1080" s="10" t="str">
        <f>"CN2349"</f>
        <v>CN2349</v>
      </c>
      <c r="C1080" s="10" t="s">
        <v>1059</v>
      </c>
    </row>
    <row r="1081" spans="1:3" s="10" customFormat="1" x14ac:dyDescent="0.25">
      <c r="A1081" s="10" t="str">
        <f>"0611861726100"</f>
        <v>0611861726100</v>
      </c>
      <c r="B1081" s="10" t="str">
        <f>"CN5086"</f>
        <v>CN5086</v>
      </c>
      <c r="C1081" s="10" t="s">
        <v>1060</v>
      </c>
    </row>
    <row r="1082" spans="1:3" s="10" customFormat="1" x14ac:dyDescent="0.25">
      <c r="A1082" s="10" t="str">
        <f>"0611861727100"</f>
        <v>0611861727100</v>
      </c>
      <c r="B1082" s="10" t="str">
        <f>"CN2350"</f>
        <v>CN2350</v>
      </c>
      <c r="C1082" s="10" t="s">
        <v>1061</v>
      </c>
    </row>
    <row r="1083" spans="1:3" s="10" customFormat="1" x14ac:dyDescent="0.25">
      <c r="A1083" s="10" t="str">
        <f>"0611861728100"</f>
        <v>0611861728100</v>
      </c>
      <c r="B1083" s="10" t="str">
        <f>"CN2348"</f>
        <v>CN2348</v>
      </c>
      <c r="C1083" s="10" t="s">
        <v>1062</v>
      </c>
    </row>
    <row r="1084" spans="1:3" s="10" customFormat="1" x14ac:dyDescent="0.25">
      <c r="A1084" s="10" t="str">
        <f>"0611861729100"</f>
        <v>0611861729100</v>
      </c>
      <c r="B1084" s="10" t="str">
        <f>"CN5087"</f>
        <v>CN5087</v>
      </c>
      <c r="C1084" s="10" t="s">
        <v>1063</v>
      </c>
    </row>
    <row r="1085" spans="1:3" s="10" customFormat="1" x14ac:dyDescent="0.25">
      <c r="A1085" s="10" t="str">
        <f>"0611861730100"</f>
        <v>0611861730100</v>
      </c>
      <c r="B1085" s="10" t="str">
        <f>"CN2351"</f>
        <v>CN2351</v>
      </c>
      <c r="C1085" s="10" t="s">
        <v>1064</v>
      </c>
    </row>
    <row r="1086" spans="1:3" s="10" customFormat="1" x14ac:dyDescent="0.25">
      <c r="A1086" s="10" t="str">
        <f>"0611861731100"</f>
        <v>0611861731100</v>
      </c>
      <c r="B1086" s="10" t="str">
        <f>"CN2352"</f>
        <v>CN2352</v>
      </c>
      <c r="C1086" s="10" t="s">
        <v>1065</v>
      </c>
    </row>
    <row r="1087" spans="1:3" s="10" customFormat="1" x14ac:dyDescent="0.25">
      <c r="A1087" s="10" t="str">
        <f>"0611861732100"</f>
        <v>0611861732100</v>
      </c>
      <c r="B1087" s="10" t="str">
        <f>"CN5088"</f>
        <v>CN5088</v>
      </c>
      <c r="C1087" s="10" t="s">
        <v>1066</v>
      </c>
    </row>
    <row r="1088" spans="1:3" s="10" customFormat="1" x14ac:dyDescent="0.25">
      <c r="A1088" s="10" t="str">
        <f>"0611861733100"</f>
        <v>0611861733100</v>
      </c>
      <c r="B1088" s="10" t="str">
        <f>"CN5089"</f>
        <v>CN5089</v>
      </c>
      <c r="C1088" s="10" t="s">
        <v>1067</v>
      </c>
    </row>
    <row r="1089" spans="1:3" s="10" customFormat="1" x14ac:dyDescent="0.25">
      <c r="A1089" s="10" t="str">
        <f>"0611861735100"</f>
        <v>0611861735100</v>
      </c>
      <c r="B1089" s="10" t="str">
        <f>"CN5140"</f>
        <v>CN5140</v>
      </c>
      <c r="C1089" s="10" t="s">
        <v>1068</v>
      </c>
    </row>
    <row r="1090" spans="1:3" s="10" customFormat="1" x14ac:dyDescent="0.25">
      <c r="A1090" s="10" t="str">
        <f>"0611861736100"</f>
        <v>0611861736100</v>
      </c>
      <c r="B1090" s="10" t="str">
        <f>"CN5139"</f>
        <v>CN5139</v>
      </c>
      <c r="C1090" s="10" t="s">
        <v>1069</v>
      </c>
    </row>
    <row r="1091" spans="1:3" s="10" customFormat="1" x14ac:dyDescent="0.25">
      <c r="A1091" s="10" t="str">
        <f>"0611861737100"</f>
        <v>0611861737100</v>
      </c>
      <c r="B1091" s="10" t="str">
        <f>"CN5138"</f>
        <v>CN5138</v>
      </c>
      <c r="C1091" s="10" t="s">
        <v>1070</v>
      </c>
    </row>
    <row r="1092" spans="1:3" s="10" customFormat="1" x14ac:dyDescent="0.25">
      <c r="A1092" s="10" t="str">
        <f>"0611861738100"</f>
        <v>0611861738100</v>
      </c>
      <c r="B1092" s="10" t="str">
        <f>"CN5142"</f>
        <v>CN5142</v>
      </c>
      <c r="C1092" s="10" t="s">
        <v>1071</v>
      </c>
    </row>
    <row r="1093" spans="1:3" s="10" customFormat="1" x14ac:dyDescent="0.25">
      <c r="A1093" s="10" t="str">
        <f>"0611861739100"</f>
        <v>0611861739100</v>
      </c>
      <c r="B1093" s="10" t="str">
        <f>"CN5091"</f>
        <v>CN5091</v>
      </c>
      <c r="C1093" s="10" t="s">
        <v>1072</v>
      </c>
    </row>
    <row r="1094" spans="1:3" s="10" customFormat="1" x14ac:dyDescent="0.25">
      <c r="A1094" s="10" t="str">
        <f>"0611893589100"</f>
        <v>0611893589100</v>
      </c>
      <c r="B1094" s="10" t="str">
        <f>"CN5484"</f>
        <v>CN5484</v>
      </c>
      <c r="C1094" s="10" t="s">
        <v>1073</v>
      </c>
    </row>
    <row r="1095" spans="1:3" s="10" customFormat="1" x14ac:dyDescent="0.25">
      <c r="A1095" s="10" t="str">
        <f>"0611861740050"</f>
        <v>0611861740050</v>
      </c>
      <c r="B1095" s="10" t="str">
        <f>"CR3794"</f>
        <v>CR3794</v>
      </c>
      <c r="C1095" s="10" t="s">
        <v>1074</v>
      </c>
    </row>
    <row r="1096" spans="1:3" s="10" customFormat="1" x14ac:dyDescent="0.25">
      <c r="A1096" s="10" t="str">
        <f>"0611861741100"</f>
        <v>0611861741100</v>
      </c>
      <c r="B1096" s="10" t="str">
        <f>"CN5092"</f>
        <v>CN5092</v>
      </c>
      <c r="C1096" s="10" t="s">
        <v>1075</v>
      </c>
    </row>
    <row r="1097" spans="1:3" s="10" customFormat="1" x14ac:dyDescent="0.25">
      <c r="A1097" s="10" t="str">
        <f>"0611861743100"</f>
        <v>0611861743100</v>
      </c>
      <c r="B1097" s="10" t="str">
        <f>"CN5093"</f>
        <v>CN5093</v>
      </c>
      <c r="C1097" s="10" t="s">
        <v>1076</v>
      </c>
    </row>
    <row r="1098" spans="1:3" s="10" customFormat="1" x14ac:dyDescent="0.25">
      <c r="A1098" s="10" t="str">
        <f>"0611861744050"</f>
        <v>0611861744050</v>
      </c>
      <c r="B1098" s="10" t="str">
        <f>"CR3599"</f>
        <v>CR3599</v>
      </c>
      <c r="C1098" s="10" t="s">
        <v>1077</v>
      </c>
    </row>
    <row r="1099" spans="1:3" s="10" customFormat="1" x14ac:dyDescent="0.25">
      <c r="A1099" s="10" t="str">
        <f>"0611861745100"</f>
        <v>0611861745100</v>
      </c>
      <c r="B1099" s="10" t="str">
        <f>"CN5094"</f>
        <v>CN5094</v>
      </c>
      <c r="C1099" s="10" t="s">
        <v>1078</v>
      </c>
    </row>
    <row r="1100" spans="1:3" s="10" customFormat="1" x14ac:dyDescent="0.25">
      <c r="A1100" s="10" t="str">
        <f>"0611893590100"</f>
        <v>0611893590100</v>
      </c>
      <c r="B1100" s="10" t="str">
        <f>"CN5485"</f>
        <v>CN5485</v>
      </c>
      <c r="C1100" s="10" t="s">
        <v>1079</v>
      </c>
    </row>
    <row r="1101" spans="1:3" s="10" customFormat="1" x14ac:dyDescent="0.25">
      <c r="A1101" s="10" t="str">
        <f>"0611861746100"</f>
        <v>0611861746100</v>
      </c>
      <c r="B1101" s="10" t="str">
        <f>"CN5095"</f>
        <v>CN5095</v>
      </c>
      <c r="C1101" s="10" t="s">
        <v>1080</v>
      </c>
    </row>
    <row r="1102" spans="1:3" s="10" customFormat="1" x14ac:dyDescent="0.25">
      <c r="A1102" s="10" t="str">
        <f>"0611861748100"</f>
        <v>0611861748100</v>
      </c>
      <c r="B1102" s="10" t="str">
        <f>"CN2354"</f>
        <v>CN2354</v>
      </c>
      <c r="C1102" s="10" t="s">
        <v>1081</v>
      </c>
    </row>
    <row r="1103" spans="1:3" s="10" customFormat="1" x14ac:dyDescent="0.25">
      <c r="A1103" s="10" t="str">
        <f>"0611861749100"</f>
        <v>0611861749100</v>
      </c>
      <c r="B1103" s="10" t="str">
        <f>"CN2355"</f>
        <v>CN2355</v>
      </c>
      <c r="C1103" s="10" t="s">
        <v>1082</v>
      </c>
    </row>
    <row r="1104" spans="1:3" s="10" customFormat="1" x14ac:dyDescent="0.25">
      <c r="A1104" s="10" t="str">
        <f>"0611893591100"</f>
        <v>0611893591100</v>
      </c>
      <c r="B1104" s="10" t="str">
        <f>"CN5486"</f>
        <v>CN5486</v>
      </c>
      <c r="C1104" s="10" t="s">
        <v>1083</v>
      </c>
    </row>
    <row r="1105" spans="1:3" s="10" customFormat="1" x14ac:dyDescent="0.25">
      <c r="A1105" s="10" t="str">
        <f>"0611861750050"</f>
        <v>0611861750050</v>
      </c>
      <c r="B1105" s="10" t="str">
        <f>"CR3932"</f>
        <v>CR3932</v>
      </c>
      <c r="C1105" s="10" t="s">
        <v>1084</v>
      </c>
    </row>
    <row r="1106" spans="1:3" s="10" customFormat="1" x14ac:dyDescent="0.25">
      <c r="A1106" s="10" t="str">
        <f>"0611893592100"</f>
        <v>0611893592100</v>
      </c>
      <c r="B1106" s="10" t="str">
        <f>"CN5487"</f>
        <v>CN5487</v>
      </c>
      <c r="C1106" s="10" t="s">
        <v>1085</v>
      </c>
    </row>
    <row r="1107" spans="1:3" s="10" customFormat="1" x14ac:dyDescent="0.25">
      <c r="A1107" s="10" t="str">
        <f>"0611861751100"</f>
        <v>0611861751100</v>
      </c>
      <c r="B1107" s="10" t="str">
        <f>"CN2356"</f>
        <v>CN2356</v>
      </c>
      <c r="C1107" s="10" t="s">
        <v>1086</v>
      </c>
    </row>
    <row r="1108" spans="1:3" s="10" customFormat="1" x14ac:dyDescent="0.25">
      <c r="A1108" s="10" t="str">
        <f>"0611861752100"</f>
        <v>0611861752100</v>
      </c>
      <c r="B1108" s="10" t="str">
        <f>"CN2357"</f>
        <v>CN2357</v>
      </c>
      <c r="C1108" s="10" t="s">
        <v>1087</v>
      </c>
    </row>
    <row r="1109" spans="1:3" s="10" customFormat="1" x14ac:dyDescent="0.25">
      <c r="A1109" s="10" t="str">
        <f>"0611861753100"</f>
        <v>0611861753100</v>
      </c>
      <c r="B1109" s="10" t="str">
        <f>"CN2358"</f>
        <v>CN2358</v>
      </c>
      <c r="C1109" s="10" t="s">
        <v>1088</v>
      </c>
    </row>
    <row r="1110" spans="1:3" s="10" customFormat="1" x14ac:dyDescent="0.25">
      <c r="A1110" s="10" t="str">
        <f>"0611861754050"</f>
        <v>0611861754050</v>
      </c>
      <c r="B1110" s="10" t="str">
        <f>"CR3933"</f>
        <v>CR3933</v>
      </c>
      <c r="C1110" s="10" t="s">
        <v>1089</v>
      </c>
    </row>
    <row r="1111" spans="1:3" s="10" customFormat="1" x14ac:dyDescent="0.25">
      <c r="A1111" s="10" t="str">
        <f>"0611861755100"</f>
        <v>0611861755100</v>
      </c>
      <c r="B1111" s="10" t="str">
        <f>"CN5144"</f>
        <v>CN5144</v>
      </c>
      <c r="C1111" s="10" t="s">
        <v>1090</v>
      </c>
    </row>
    <row r="1112" spans="1:3" s="10" customFormat="1" x14ac:dyDescent="0.25">
      <c r="A1112" s="10" t="str">
        <f>"0611861756100"</f>
        <v>0611861756100</v>
      </c>
      <c r="B1112" s="10" t="str">
        <f>"CN5145"</f>
        <v>CN5145</v>
      </c>
      <c r="C1112" s="10" t="s">
        <v>1091</v>
      </c>
    </row>
    <row r="1113" spans="1:3" s="10" customFormat="1" x14ac:dyDescent="0.25">
      <c r="A1113" s="10" t="str">
        <f>"0611861757100"</f>
        <v>0611861757100</v>
      </c>
      <c r="B1113" s="10" t="str">
        <f>"CN5146"</f>
        <v>CN5146</v>
      </c>
      <c r="C1113" s="10" t="s">
        <v>1092</v>
      </c>
    </row>
    <row r="1114" spans="1:3" s="10" customFormat="1" x14ac:dyDescent="0.25">
      <c r="A1114" s="10" t="str">
        <f>"0611861758100"</f>
        <v>0611861758100</v>
      </c>
      <c r="B1114" s="10" t="str">
        <f>"CN2353"</f>
        <v>CN2353</v>
      </c>
      <c r="C1114" s="10" t="s">
        <v>1093</v>
      </c>
    </row>
    <row r="1115" spans="1:3" s="10" customFormat="1" x14ac:dyDescent="0.25">
      <c r="A1115" s="10" t="str">
        <f>"0611861759100"</f>
        <v>0611861759100</v>
      </c>
      <c r="B1115" s="10" t="str">
        <f>"CN5096"</f>
        <v>CN5096</v>
      </c>
      <c r="C1115" s="10" t="s">
        <v>1094</v>
      </c>
    </row>
    <row r="1116" spans="1:3" s="10" customFormat="1" x14ac:dyDescent="0.25">
      <c r="A1116" s="10" t="str">
        <f>"0611861760050"</f>
        <v>0611861760050</v>
      </c>
      <c r="B1116" s="10" t="str">
        <f>"CR3601"</f>
        <v>CR3601</v>
      </c>
      <c r="C1116" s="10" t="s">
        <v>1095</v>
      </c>
    </row>
    <row r="1117" spans="1:3" s="10" customFormat="1" x14ac:dyDescent="0.25">
      <c r="A1117" s="10" t="str">
        <f>"0611861761100"</f>
        <v>0611861761100</v>
      </c>
      <c r="B1117" s="10" t="str">
        <f>"CN5097"</f>
        <v>CN5097</v>
      </c>
      <c r="C1117" s="10" t="s">
        <v>1096</v>
      </c>
    </row>
    <row r="1118" spans="1:3" s="10" customFormat="1" x14ac:dyDescent="0.25">
      <c r="A1118" s="10" t="str">
        <f>"0611861762100"</f>
        <v>0611861762100</v>
      </c>
      <c r="B1118" s="10" t="str">
        <f>"CN5098"</f>
        <v>CN5098</v>
      </c>
      <c r="C1118" s="10" t="s">
        <v>1097</v>
      </c>
    </row>
    <row r="1119" spans="1:3" s="10" customFormat="1" x14ac:dyDescent="0.25">
      <c r="A1119" s="10" t="str">
        <f>"0611861763050"</f>
        <v>0611861763050</v>
      </c>
      <c r="B1119" s="10" t="str">
        <f>"CR3785"</f>
        <v>CR3785</v>
      </c>
      <c r="C1119" s="10" t="s">
        <v>1098</v>
      </c>
    </row>
    <row r="1120" spans="1:3" s="10" customFormat="1" x14ac:dyDescent="0.25">
      <c r="A1120" s="10" t="str">
        <f>"0611861764050"</f>
        <v>0611861764050</v>
      </c>
      <c r="B1120" s="10" t="str">
        <f>"CR3604"</f>
        <v>CR3604</v>
      </c>
      <c r="C1120" s="10" t="s">
        <v>1099</v>
      </c>
    </row>
    <row r="1121" spans="1:3" s="10" customFormat="1" x14ac:dyDescent="0.25">
      <c r="A1121" s="10" t="str">
        <f>"0611861765100"</f>
        <v>0611861765100</v>
      </c>
      <c r="B1121" s="10" t="str">
        <f>"CN5099"</f>
        <v>CN5099</v>
      </c>
      <c r="C1121" s="10" t="s">
        <v>1100</v>
      </c>
    </row>
    <row r="1122" spans="1:3" s="10" customFormat="1" x14ac:dyDescent="0.25">
      <c r="A1122" s="10" t="str">
        <f>"0611861766050"</f>
        <v>0611861766050</v>
      </c>
      <c r="B1122" s="10" t="str">
        <f>"CR3786"</f>
        <v>CR3786</v>
      </c>
      <c r="C1122" s="10" t="s">
        <v>1101</v>
      </c>
    </row>
    <row r="1123" spans="1:3" s="10" customFormat="1" x14ac:dyDescent="0.25">
      <c r="A1123" s="10" t="str">
        <f>"0611861767100"</f>
        <v>0611861767100</v>
      </c>
      <c r="B1123" s="10" t="str">
        <f>"CN5100"</f>
        <v>CN5100</v>
      </c>
      <c r="C1123" s="10" t="s">
        <v>1102</v>
      </c>
    </row>
    <row r="1124" spans="1:3" s="10" customFormat="1" x14ac:dyDescent="0.25">
      <c r="A1124" s="10" t="str">
        <f>"0611861768050"</f>
        <v>0611861768050</v>
      </c>
      <c r="B1124" s="10" t="str">
        <f>"CR3605"</f>
        <v>CR3605</v>
      </c>
      <c r="C1124" s="10" t="s">
        <v>1103</v>
      </c>
    </row>
    <row r="1125" spans="1:3" s="10" customFormat="1" x14ac:dyDescent="0.25">
      <c r="A1125" s="10" t="str">
        <f>"0611861769100"</f>
        <v>0611861769100</v>
      </c>
      <c r="B1125" s="10" t="str">
        <f>"CN5101"</f>
        <v>CN5101</v>
      </c>
      <c r="C1125" s="10" t="s">
        <v>1104</v>
      </c>
    </row>
    <row r="1126" spans="1:3" s="10" customFormat="1" x14ac:dyDescent="0.25">
      <c r="A1126" s="10" t="str">
        <f>"0611861771100"</f>
        <v>0611861771100</v>
      </c>
      <c r="B1126" s="10" t="str">
        <f>"CN5102"</f>
        <v>CN5102</v>
      </c>
      <c r="C1126" s="10" t="s">
        <v>1105</v>
      </c>
    </row>
    <row r="1127" spans="1:3" s="10" customFormat="1" x14ac:dyDescent="0.25">
      <c r="A1127" s="10" t="str">
        <f>"0611861772100"</f>
        <v>0611861772100</v>
      </c>
      <c r="B1127" s="10" t="str">
        <f>"CN5103"</f>
        <v>CN5103</v>
      </c>
      <c r="C1127" s="10" t="s">
        <v>1106</v>
      </c>
    </row>
    <row r="1128" spans="1:3" s="10" customFormat="1" x14ac:dyDescent="0.25">
      <c r="A1128" s="10" t="str">
        <f>"0611861773100"</f>
        <v>0611861773100</v>
      </c>
      <c r="B1128" s="10" t="str">
        <f>"CN5104"</f>
        <v>CN5104</v>
      </c>
      <c r="C1128" s="10" t="s">
        <v>1107</v>
      </c>
    </row>
    <row r="1129" spans="1:3" s="10" customFormat="1" x14ac:dyDescent="0.25">
      <c r="A1129" s="10" t="str">
        <f>"0611861774100"</f>
        <v>0611861774100</v>
      </c>
      <c r="B1129" s="10" t="str">
        <f>"CN5105"</f>
        <v>CN5105</v>
      </c>
      <c r="C1129" s="10" t="s">
        <v>1108</v>
      </c>
    </row>
    <row r="1130" spans="1:3" s="10" customFormat="1" x14ac:dyDescent="0.25">
      <c r="A1130" s="10" t="str">
        <f>"0611861775100"</f>
        <v>0611861775100</v>
      </c>
      <c r="B1130" s="10" t="str">
        <f>"CN5106"</f>
        <v>CN5106</v>
      </c>
      <c r="C1130" s="10" t="s">
        <v>1109</v>
      </c>
    </row>
    <row r="1131" spans="1:3" s="10" customFormat="1" x14ac:dyDescent="0.25">
      <c r="A1131" s="10" t="str">
        <f>"0611861776100"</f>
        <v>0611861776100</v>
      </c>
      <c r="B1131" s="10" t="str">
        <f>"CN5107"</f>
        <v>CN5107</v>
      </c>
      <c r="C1131" s="10" t="s">
        <v>1110</v>
      </c>
    </row>
    <row r="1132" spans="1:3" s="10" customFormat="1" x14ac:dyDescent="0.25">
      <c r="A1132" s="10" t="str">
        <f>"0611861777100"</f>
        <v>0611861777100</v>
      </c>
      <c r="B1132" s="10" t="str">
        <f>"CN5108"</f>
        <v>CN5108</v>
      </c>
      <c r="C1132" s="10" t="s">
        <v>1111</v>
      </c>
    </row>
    <row r="1133" spans="1:3" s="10" customFormat="1" x14ac:dyDescent="0.25">
      <c r="A1133" s="10" t="str">
        <f>"0611861779100"</f>
        <v>0611861779100</v>
      </c>
      <c r="B1133" s="10" t="str">
        <f>"CN5109"</f>
        <v>CN5109</v>
      </c>
      <c r="C1133" s="10" t="s">
        <v>1112</v>
      </c>
    </row>
    <row r="1134" spans="1:3" s="10" customFormat="1" x14ac:dyDescent="0.25">
      <c r="A1134" s="10" t="str">
        <f>"0611861780050"</f>
        <v>0611861780050</v>
      </c>
      <c r="B1134" s="10" t="str">
        <f>"CR3613"</f>
        <v>CR3613</v>
      </c>
      <c r="C1134" s="10" t="s">
        <v>1113</v>
      </c>
    </row>
    <row r="1135" spans="1:3" s="10" customFormat="1" x14ac:dyDescent="0.25">
      <c r="A1135" s="10" t="str">
        <f>"0611861781100"</f>
        <v>0611861781100</v>
      </c>
      <c r="B1135" s="10" t="str">
        <f>"CN5149"</f>
        <v>CN5149</v>
      </c>
      <c r="C1135" s="10" t="s">
        <v>1114</v>
      </c>
    </row>
    <row r="1136" spans="1:3" s="10" customFormat="1" x14ac:dyDescent="0.25">
      <c r="A1136" s="10" t="str">
        <f>"0611861782100"</f>
        <v>0611861782100</v>
      </c>
      <c r="B1136" s="10" t="str">
        <f>"CN5150"</f>
        <v>CN5150</v>
      </c>
      <c r="C1136" s="10" t="s">
        <v>1115</v>
      </c>
    </row>
    <row r="1137" spans="1:3" s="10" customFormat="1" x14ac:dyDescent="0.25">
      <c r="A1137" s="10" t="str">
        <f>"0611861783100"</f>
        <v>0611861783100</v>
      </c>
      <c r="B1137" s="10" t="str">
        <f>"CN5151"</f>
        <v>CN5151</v>
      </c>
      <c r="C1137" s="10" t="s">
        <v>1116</v>
      </c>
    </row>
    <row r="1138" spans="1:3" s="10" customFormat="1" x14ac:dyDescent="0.25">
      <c r="A1138" s="10" t="str">
        <f>"0611893593100"</f>
        <v>0611893593100</v>
      </c>
      <c r="B1138" s="10" t="str">
        <f>"CN5491"</f>
        <v>CN5491</v>
      </c>
      <c r="C1138" s="10" t="s">
        <v>1117</v>
      </c>
    </row>
    <row r="1139" spans="1:3" s="10" customFormat="1" x14ac:dyDescent="0.25">
      <c r="A1139" s="10" t="str">
        <f>"0611861784100"</f>
        <v>0611861784100</v>
      </c>
      <c r="B1139" s="10" t="str">
        <f>"CN5152"</f>
        <v>CN5152</v>
      </c>
      <c r="C1139" s="10" t="s">
        <v>1118</v>
      </c>
    </row>
    <row r="1140" spans="1:3" s="10" customFormat="1" x14ac:dyDescent="0.25">
      <c r="A1140" s="10" t="str">
        <f>"0611861785100"</f>
        <v>0611861785100</v>
      </c>
      <c r="B1140" s="10" t="str">
        <f>"CN5143"</f>
        <v>CN5143</v>
      </c>
      <c r="C1140" s="10" t="s">
        <v>1119</v>
      </c>
    </row>
    <row r="1141" spans="1:3" s="10" customFormat="1" x14ac:dyDescent="0.25">
      <c r="A1141" s="10" t="str">
        <f>"0611861786100"</f>
        <v>0611861786100</v>
      </c>
      <c r="B1141" s="10" t="str">
        <f>"CN5438"</f>
        <v>CN5438</v>
      </c>
      <c r="C1141" s="10" t="s">
        <v>1120</v>
      </c>
    </row>
    <row r="1142" spans="1:3" s="10" customFormat="1" x14ac:dyDescent="0.25">
      <c r="A1142" s="10" t="str">
        <f>"0611861787100"</f>
        <v>0611861787100</v>
      </c>
      <c r="B1142" s="10" t="str">
        <f>"CN5153"</f>
        <v>CN5153</v>
      </c>
      <c r="C1142" s="10" t="s">
        <v>1121</v>
      </c>
    </row>
    <row r="1143" spans="1:3" s="10" customFormat="1" x14ac:dyDescent="0.25">
      <c r="A1143" s="10" t="str">
        <f>"0611861788100"</f>
        <v>0611861788100</v>
      </c>
      <c r="B1143" s="10" t="str">
        <f>"CN5155"</f>
        <v>CN5155</v>
      </c>
      <c r="C1143" s="10" t="s">
        <v>1122</v>
      </c>
    </row>
    <row r="1144" spans="1:3" s="10" customFormat="1" x14ac:dyDescent="0.25">
      <c r="A1144" s="10" t="str">
        <f>"0611861789100"</f>
        <v>0611861789100</v>
      </c>
      <c r="B1144" s="10" t="str">
        <f>"CN5154"</f>
        <v>CN5154</v>
      </c>
      <c r="C1144" s="10" t="s">
        <v>1123</v>
      </c>
    </row>
    <row r="1145" spans="1:3" s="10" customFormat="1" x14ac:dyDescent="0.25">
      <c r="A1145" s="10" t="str">
        <f>"0611861790050"</f>
        <v>0611861790050</v>
      </c>
      <c r="B1145" s="10" t="str">
        <f>"CN5439"</f>
        <v>CN5439</v>
      </c>
      <c r="C1145" s="10" t="s">
        <v>1124</v>
      </c>
    </row>
    <row r="1146" spans="1:3" s="10" customFormat="1" x14ac:dyDescent="0.25">
      <c r="A1146" s="10" t="str">
        <f>"0611861791100"</f>
        <v>0611861791100</v>
      </c>
      <c r="B1146" s="10" t="str">
        <f>"CN5141"</f>
        <v>CN5141</v>
      </c>
      <c r="C1146" s="10" t="s">
        <v>1125</v>
      </c>
    </row>
    <row r="1147" spans="1:3" s="10" customFormat="1" x14ac:dyDescent="0.25">
      <c r="A1147" s="10" t="str">
        <f>"0611861792100"</f>
        <v>0611861792100</v>
      </c>
      <c r="B1147" s="10" t="str">
        <f>"CN5129"</f>
        <v>CN5129</v>
      </c>
      <c r="C1147" s="10" t="s">
        <v>1126</v>
      </c>
    </row>
    <row r="1148" spans="1:3" s="10" customFormat="1" x14ac:dyDescent="0.25">
      <c r="A1148" s="10" t="str">
        <f>"0611861793100"</f>
        <v>0611861793100</v>
      </c>
      <c r="B1148" s="10" t="str">
        <f>"CN5131"</f>
        <v>CN5131</v>
      </c>
      <c r="C1148" s="10" t="s">
        <v>1127</v>
      </c>
    </row>
    <row r="1149" spans="1:3" s="10" customFormat="1" x14ac:dyDescent="0.25">
      <c r="A1149" s="10" t="str">
        <f>"0611861794100"</f>
        <v>0611861794100</v>
      </c>
      <c r="B1149" s="10" t="str">
        <f>"CN5135"</f>
        <v>CN5135</v>
      </c>
      <c r="C1149" s="10" t="s">
        <v>1128</v>
      </c>
    </row>
    <row r="1150" spans="1:3" s="10" customFormat="1" x14ac:dyDescent="0.25">
      <c r="A1150" s="10" t="str">
        <f>"0611861795100"</f>
        <v>0611861795100</v>
      </c>
      <c r="B1150" s="10" t="str">
        <f>"CN5136"</f>
        <v>CN5136</v>
      </c>
      <c r="C1150" s="10" t="s">
        <v>1129</v>
      </c>
    </row>
    <row r="1151" spans="1:3" s="10" customFormat="1" x14ac:dyDescent="0.25">
      <c r="A1151" s="10" t="str">
        <f>"0611861796100"</f>
        <v>0611861796100</v>
      </c>
      <c r="B1151" s="10" t="str">
        <f>"CN5132"</f>
        <v>CN5132</v>
      </c>
      <c r="C1151" s="10" t="s">
        <v>1130</v>
      </c>
    </row>
    <row r="1152" spans="1:3" s="10" customFormat="1" x14ac:dyDescent="0.25">
      <c r="A1152" s="10" t="str">
        <f>"0611861797100"</f>
        <v>0611861797100</v>
      </c>
      <c r="B1152" s="10" t="str">
        <f>"CN5133"</f>
        <v>CN5133</v>
      </c>
      <c r="C1152" s="10" t="s">
        <v>1131</v>
      </c>
    </row>
    <row r="1153" spans="1:3" s="10" customFormat="1" x14ac:dyDescent="0.25">
      <c r="A1153" s="10" t="str">
        <f>"0611906560050"</f>
        <v>0611906560050</v>
      </c>
      <c r="B1153" s="10" t="str">
        <f>"CR5526"</f>
        <v>CR5526</v>
      </c>
      <c r="C1153" s="10" t="s">
        <v>1133</v>
      </c>
    </row>
    <row r="1154" spans="1:3" s="10" customFormat="1" x14ac:dyDescent="0.25">
      <c r="A1154" s="10" t="str">
        <f>"0611861798100"</f>
        <v>0611861798100</v>
      </c>
      <c r="B1154" s="10" t="str">
        <f>"CN5130"</f>
        <v>CN5130</v>
      </c>
      <c r="C1154" s="10" t="s">
        <v>1132</v>
      </c>
    </row>
    <row r="1155" spans="1:3" s="10" customFormat="1" x14ac:dyDescent="0.25">
      <c r="A1155" s="10" t="str">
        <f>"0611861799100"</f>
        <v>0611861799100</v>
      </c>
      <c r="B1155" s="10" t="str">
        <f>"CN5134"</f>
        <v>CN5134</v>
      </c>
      <c r="C1155" s="10" t="s">
        <v>1134</v>
      </c>
    </row>
    <row r="1156" spans="1:3" s="10" customFormat="1" x14ac:dyDescent="0.25">
      <c r="A1156" s="10" t="str">
        <f>"0611861800100"</f>
        <v>0611861800100</v>
      </c>
      <c r="B1156" s="10" t="str">
        <f>"CN5137"</f>
        <v>CN5137</v>
      </c>
      <c r="C1156" s="10" t="s">
        <v>1135</v>
      </c>
    </row>
    <row r="1157" spans="1:3" s="10" customFormat="1" x14ac:dyDescent="0.25">
      <c r="A1157" s="10" t="str">
        <f>"0611861801100"</f>
        <v>0611861801100</v>
      </c>
      <c r="B1157" s="10" t="str">
        <f>"CN5110"</f>
        <v>CN5110</v>
      </c>
      <c r="C1157" s="10" t="s">
        <v>1136</v>
      </c>
    </row>
    <row r="1158" spans="1:3" s="10" customFormat="1" x14ac:dyDescent="0.25">
      <c r="A1158" s="10" t="str">
        <f>"0611861802100"</f>
        <v>0611861802100</v>
      </c>
      <c r="B1158" s="10" t="str">
        <f>"CN5111"</f>
        <v>CN5111</v>
      </c>
      <c r="C1158" s="10" t="s">
        <v>1137</v>
      </c>
    </row>
    <row r="1159" spans="1:3" s="10" customFormat="1" x14ac:dyDescent="0.25">
      <c r="A1159" s="10" t="str">
        <f>"0611861803100"</f>
        <v>0611861803100</v>
      </c>
      <c r="B1159" s="10" t="str">
        <f>"CN5112"</f>
        <v>CN5112</v>
      </c>
      <c r="C1159" s="10" t="s">
        <v>1138</v>
      </c>
    </row>
    <row r="1160" spans="1:3" s="10" customFormat="1" x14ac:dyDescent="0.25">
      <c r="A1160" s="10" t="str">
        <f>"0611861805050"</f>
        <v>0611861805050</v>
      </c>
      <c r="B1160" s="10" t="str">
        <f>"CR3617"</f>
        <v>CR3617</v>
      </c>
      <c r="C1160" s="10" t="s">
        <v>1139</v>
      </c>
    </row>
    <row r="1161" spans="1:3" s="10" customFormat="1" x14ac:dyDescent="0.25">
      <c r="A1161" s="10" t="str">
        <f>"0611861806100"</f>
        <v>0611861806100</v>
      </c>
      <c r="B1161" s="10" t="str">
        <f>"CN5113"</f>
        <v>CN5113</v>
      </c>
      <c r="C1161" s="10" t="s">
        <v>1140</v>
      </c>
    </row>
    <row r="1162" spans="1:3" s="10" customFormat="1" x14ac:dyDescent="0.25">
      <c r="A1162" s="10" t="str">
        <f>"0611861807100"</f>
        <v>0611861807100</v>
      </c>
      <c r="B1162" s="10" t="str">
        <f>"CN5114"</f>
        <v>CN5114</v>
      </c>
      <c r="C1162" s="10" t="s">
        <v>1141</v>
      </c>
    </row>
    <row r="1163" spans="1:3" s="10" customFormat="1" x14ac:dyDescent="0.25">
      <c r="A1163" s="10" t="str">
        <f>"0611861808100"</f>
        <v>0611861808100</v>
      </c>
      <c r="B1163" s="10" t="str">
        <f>"CN5115"</f>
        <v>CN5115</v>
      </c>
      <c r="C1163" s="10" t="s">
        <v>1142</v>
      </c>
    </row>
    <row r="1164" spans="1:3" s="10" customFormat="1" x14ac:dyDescent="0.25">
      <c r="A1164" s="10" t="str">
        <f>"0611861809100"</f>
        <v>0611861809100</v>
      </c>
      <c r="B1164" s="10" t="str">
        <f>"CN5116"</f>
        <v>CN5116</v>
      </c>
      <c r="C1164" s="10" t="s">
        <v>1143</v>
      </c>
    </row>
    <row r="1165" spans="1:3" s="10" customFormat="1" x14ac:dyDescent="0.25">
      <c r="A1165" s="10" t="str">
        <f>"0611861810050"</f>
        <v>0611861810050</v>
      </c>
      <c r="B1165" s="10" t="str">
        <f>"CR3619"</f>
        <v>CR3619</v>
      </c>
      <c r="C1165" s="10" t="s">
        <v>1144</v>
      </c>
    </row>
    <row r="1166" spans="1:3" s="10" customFormat="1" x14ac:dyDescent="0.25">
      <c r="A1166" s="10" t="str">
        <f>"0611861811100"</f>
        <v>0611861811100</v>
      </c>
      <c r="B1166" s="10" t="str">
        <f>"CN5117"</f>
        <v>CN5117</v>
      </c>
      <c r="C1166" s="10" t="s">
        <v>1145</v>
      </c>
    </row>
    <row r="1167" spans="1:3" s="10" customFormat="1" x14ac:dyDescent="0.25">
      <c r="A1167" s="10" t="str">
        <f>"0611861812100"</f>
        <v>0611861812100</v>
      </c>
      <c r="B1167" s="10" t="str">
        <f>"CN5118"</f>
        <v>CN5118</v>
      </c>
      <c r="C1167" s="10" t="s">
        <v>1146</v>
      </c>
    </row>
    <row r="1168" spans="1:3" s="10" customFormat="1" x14ac:dyDescent="0.25">
      <c r="A1168" s="10" t="str">
        <f>"0611861813100"</f>
        <v>0611861813100</v>
      </c>
      <c r="B1168" s="10" t="str">
        <f>"CN5119"</f>
        <v>CN5119</v>
      </c>
      <c r="C1168" s="10" t="s">
        <v>1147</v>
      </c>
    </row>
    <row r="1169" spans="1:3" s="10" customFormat="1" x14ac:dyDescent="0.25">
      <c r="A1169" s="10" t="str">
        <f>"0611861815100"</f>
        <v>0611861815100</v>
      </c>
      <c r="B1169" s="10" t="str">
        <f>"CN5120"</f>
        <v>CN5120</v>
      </c>
      <c r="C1169" s="10" t="s">
        <v>1148</v>
      </c>
    </row>
    <row r="1170" spans="1:3" s="10" customFormat="1" x14ac:dyDescent="0.25">
      <c r="A1170" s="10" t="str">
        <f>"0611861817100"</f>
        <v>0611861817100</v>
      </c>
      <c r="B1170" s="10" t="str">
        <f>"CN2359"</f>
        <v>CN2359</v>
      </c>
      <c r="C1170" s="10" t="s">
        <v>1149</v>
      </c>
    </row>
    <row r="1171" spans="1:3" s="10" customFormat="1" x14ac:dyDescent="0.25">
      <c r="A1171" s="10" t="str">
        <f>"0611861818100"</f>
        <v>0611861818100</v>
      </c>
      <c r="B1171" s="10" t="str">
        <f>"CN2360"</f>
        <v>CN2360</v>
      </c>
      <c r="C1171" s="10" t="s">
        <v>1150</v>
      </c>
    </row>
    <row r="1172" spans="1:3" s="10" customFormat="1" x14ac:dyDescent="0.25">
      <c r="A1172" s="10" t="str">
        <f>"0611861819100"</f>
        <v>0611861819100</v>
      </c>
      <c r="B1172" s="10" t="str">
        <f>"CN5121"</f>
        <v>CN5121</v>
      </c>
      <c r="C1172" s="10" t="s">
        <v>1151</v>
      </c>
    </row>
    <row r="1173" spans="1:3" s="10" customFormat="1" x14ac:dyDescent="0.25">
      <c r="A1173" s="10" t="str">
        <f>"0611861820050"</f>
        <v>0611861820050</v>
      </c>
      <c r="B1173" s="10" t="str">
        <f>"CR3628"</f>
        <v>CR3628</v>
      </c>
      <c r="C1173" s="10" t="s">
        <v>1152</v>
      </c>
    </row>
    <row r="1174" spans="1:3" s="10" customFormat="1" x14ac:dyDescent="0.25">
      <c r="A1174" s="10" t="str">
        <f>"0611906561100"</f>
        <v>0611906561100</v>
      </c>
      <c r="B1174" s="10" t="str">
        <f>"CN5488"</f>
        <v>CN5488</v>
      </c>
      <c r="C1174" s="10" t="s">
        <v>1153</v>
      </c>
    </row>
    <row r="1175" spans="1:3" s="10" customFormat="1" x14ac:dyDescent="0.25">
      <c r="A1175" s="10" t="str">
        <f>"0611861821050"</f>
        <v>0611861821050</v>
      </c>
      <c r="B1175" s="10" t="str">
        <f>"CR3796"</f>
        <v>CR3796</v>
      </c>
      <c r="C1175" s="10" t="s">
        <v>1154</v>
      </c>
    </row>
    <row r="1176" spans="1:3" s="10" customFormat="1" x14ac:dyDescent="0.25">
      <c r="A1176" s="10" t="str">
        <f>"0611861822100"</f>
        <v>0611861822100</v>
      </c>
      <c r="B1176" s="10" t="str">
        <f>"CN5122"</f>
        <v>CN5122</v>
      </c>
      <c r="C1176" s="10" t="s">
        <v>1155</v>
      </c>
    </row>
    <row r="1177" spans="1:3" s="10" customFormat="1" x14ac:dyDescent="0.25">
      <c r="A1177" s="10" t="str">
        <f>"0611861823050"</f>
        <v>0611861823050</v>
      </c>
      <c r="B1177" s="10" t="str">
        <f>"CR3629"</f>
        <v>CR3629</v>
      </c>
      <c r="C1177" s="10" t="s">
        <v>1156</v>
      </c>
    </row>
    <row r="1178" spans="1:3" s="10" customFormat="1" x14ac:dyDescent="0.25">
      <c r="A1178" s="10" t="str">
        <f>"0611861824050"</f>
        <v>0611861824050</v>
      </c>
      <c r="B1178" s="10" t="str">
        <f>"CR3630"</f>
        <v>CR3630</v>
      </c>
      <c r="C1178" s="10" t="s">
        <v>1157</v>
      </c>
    </row>
    <row r="1179" spans="1:3" s="10" customFormat="1" x14ac:dyDescent="0.25">
      <c r="A1179" s="10" t="str">
        <f>"0611861825050"</f>
        <v>0611861825050</v>
      </c>
      <c r="B1179" s="10" t="str">
        <f>"CR3631"</f>
        <v>CR3631</v>
      </c>
      <c r="C1179" s="10" t="s">
        <v>1158</v>
      </c>
    </row>
    <row r="1180" spans="1:3" s="10" customFormat="1" x14ac:dyDescent="0.25">
      <c r="A1180" s="10" t="str">
        <f>"0611861826100"</f>
        <v>0611861826100</v>
      </c>
      <c r="B1180" s="10" t="str">
        <f>"CN5123"</f>
        <v>CN5123</v>
      </c>
      <c r="C1180" s="10" t="s">
        <v>1159</v>
      </c>
    </row>
    <row r="1181" spans="1:3" s="10" customFormat="1" x14ac:dyDescent="0.25">
      <c r="A1181" s="10" t="str">
        <f>"0611861827050"</f>
        <v>0611861827050</v>
      </c>
      <c r="B1181" s="10" t="str">
        <f>"CR3633"</f>
        <v>CR3633</v>
      </c>
      <c r="C1181" s="10" t="s">
        <v>1160</v>
      </c>
    </row>
    <row r="1182" spans="1:3" s="10" customFormat="1" x14ac:dyDescent="0.25">
      <c r="A1182" s="10" t="str">
        <f>"0611906562100"</f>
        <v>0611906562100</v>
      </c>
      <c r="B1182" s="10" t="str">
        <f>"CN5489"</f>
        <v>CN5489</v>
      </c>
      <c r="C1182" s="10" t="s">
        <v>1161</v>
      </c>
    </row>
    <row r="1183" spans="1:3" s="10" customFormat="1" x14ac:dyDescent="0.25">
      <c r="A1183" s="10" t="str">
        <f>"0611861829050"</f>
        <v>0611861829050</v>
      </c>
      <c r="B1183" s="10" t="str">
        <f>"CR3797"</f>
        <v>CR3797</v>
      </c>
      <c r="C1183" s="10" t="s">
        <v>1162</v>
      </c>
    </row>
    <row r="1184" spans="1:3" s="10" customFormat="1" x14ac:dyDescent="0.25">
      <c r="A1184" s="10" t="str">
        <f>"0611861830050"</f>
        <v>0611861830050</v>
      </c>
      <c r="B1184" s="10" t="str">
        <f>"CR3635"</f>
        <v>CR3635</v>
      </c>
      <c r="C1184" s="10" t="s">
        <v>1163</v>
      </c>
    </row>
    <row r="1185" spans="1:3" s="10" customFormat="1" x14ac:dyDescent="0.25">
      <c r="A1185" s="10" t="str">
        <f>"0611861831100"</f>
        <v>0611861831100</v>
      </c>
      <c r="B1185" s="10" t="str">
        <f>"CN5125"</f>
        <v>CN5125</v>
      </c>
      <c r="C1185" s="10" t="s">
        <v>1164</v>
      </c>
    </row>
    <row r="1186" spans="1:3" s="10" customFormat="1" x14ac:dyDescent="0.25">
      <c r="A1186" s="10" t="str">
        <f>"0611861832100"</f>
        <v>0611861832100</v>
      </c>
      <c r="B1186" s="10" t="str">
        <f>"CN2361"</f>
        <v>CN2361</v>
      </c>
      <c r="C1186" s="10" t="s">
        <v>1165</v>
      </c>
    </row>
    <row r="1187" spans="1:3" s="10" customFormat="1" x14ac:dyDescent="0.25">
      <c r="A1187" s="10" t="str">
        <f>"0611861833050"</f>
        <v>0611861833050</v>
      </c>
      <c r="B1187" s="10" t="str">
        <f>"CR3788"</f>
        <v>CR3788</v>
      </c>
      <c r="C1187" s="10" t="s">
        <v>1166</v>
      </c>
    </row>
    <row r="1188" spans="1:3" s="10" customFormat="1" x14ac:dyDescent="0.25">
      <c r="A1188" s="10" t="str">
        <f>"0611906563100"</f>
        <v>0611906563100</v>
      </c>
      <c r="B1188" s="10" t="str">
        <f>"CN5490"</f>
        <v>CN5490</v>
      </c>
      <c r="C1188" s="10" t="s">
        <v>1167</v>
      </c>
    </row>
    <row r="1189" spans="1:3" s="10" customFormat="1" x14ac:dyDescent="0.25">
      <c r="A1189" s="10" t="str">
        <f>"0611861834100"</f>
        <v>0611861834100</v>
      </c>
      <c r="B1189" s="10" t="str">
        <f>"CN2362"</f>
        <v>CN2362</v>
      </c>
      <c r="C1189" s="10" t="s">
        <v>1168</v>
      </c>
    </row>
    <row r="1190" spans="1:3" s="10" customFormat="1" x14ac:dyDescent="0.25">
      <c r="A1190" s="10" t="str">
        <f>"0611861835100"</f>
        <v>0611861835100</v>
      </c>
      <c r="B1190" s="10" t="str">
        <f>"CN5126"</f>
        <v>CN5126</v>
      </c>
      <c r="C1190" s="10" t="s">
        <v>1169</v>
      </c>
    </row>
    <row r="1191" spans="1:3" s="10" customFormat="1" x14ac:dyDescent="0.25">
      <c r="A1191" s="10" t="str">
        <f>"0611861836100"</f>
        <v>0611861836100</v>
      </c>
      <c r="B1191" s="10" t="str">
        <f>"CN5127"</f>
        <v>CN5127</v>
      </c>
      <c r="C1191" s="10" t="s">
        <v>1170</v>
      </c>
    </row>
    <row r="1192" spans="1:3" s="10" customFormat="1" x14ac:dyDescent="0.25">
      <c r="A1192" s="10" t="str">
        <f>"0611861838100"</f>
        <v>0611861838100</v>
      </c>
      <c r="B1192" s="10" t="str">
        <f>"CN5128"</f>
        <v>CN5128</v>
      </c>
      <c r="C1192" s="10" t="s">
        <v>1171</v>
      </c>
    </row>
    <row r="1193" spans="1:3" s="10" customFormat="1" x14ac:dyDescent="0.25">
      <c r="A1193" s="10" t="str">
        <f>"0611861839100"</f>
        <v>0611861839100</v>
      </c>
      <c r="B1193" s="10" t="str">
        <f>"CN5147"</f>
        <v>CN5147</v>
      </c>
      <c r="C1193" s="10" t="s">
        <v>1172</v>
      </c>
    </row>
    <row r="1194" spans="1:3" s="10" customFormat="1" x14ac:dyDescent="0.25">
      <c r="A1194" s="10" t="str">
        <f>"0611861840100"</f>
        <v>0611861840100</v>
      </c>
      <c r="B1194" s="10" t="str">
        <f>"CN5148"</f>
        <v>CN5148</v>
      </c>
      <c r="C1194" s="10" t="s">
        <v>1173</v>
      </c>
    </row>
    <row r="1195" spans="1:3" s="10" customFormat="1" x14ac:dyDescent="0.25">
      <c r="A1195" s="10" t="str">
        <f>"0611861849050"</f>
        <v>0611861849050</v>
      </c>
      <c r="B1195" s="10" t="str">
        <f>"CR2197"</f>
        <v>CR2197</v>
      </c>
      <c r="C1195" s="10" t="s">
        <v>1174</v>
      </c>
    </row>
    <row r="1196" spans="1:3" s="10" customFormat="1" x14ac:dyDescent="0.25">
      <c r="A1196" s="10" t="str">
        <f>"0611861850050"</f>
        <v>0611861850050</v>
      </c>
      <c r="B1196" s="10" t="str">
        <f>"CR3077"</f>
        <v>CR3077</v>
      </c>
      <c r="C1196" s="10" t="s">
        <v>1175</v>
      </c>
    </row>
    <row r="1197" spans="1:3" s="10" customFormat="1" x14ac:dyDescent="0.25">
      <c r="A1197" s="10" t="str">
        <f>"0611861851050"</f>
        <v>0611861851050</v>
      </c>
      <c r="B1197" s="10" t="str">
        <f>"CR3720"</f>
        <v>CR3720</v>
      </c>
      <c r="C1197" s="10" t="s">
        <v>1176</v>
      </c>
    </row>
    <row r="1198" spans="1:3" s="10" customFormat="1" x14ac:dyDescent="0.25">
      <c r="A1198" s="10" t="str">
        <f>"0611861852050"</f>
        <v>0611861852050</v>
      </c>
      <c r="B1198" s="10" t="str">
        <f>"CR3078"</f>
        <v>CR3078</v>
      </c>
      <c r="C1198" s="10" t="s">
        <v>1177</v>
      </c>
    </row>
    <row r="1199" spans="1:3" s="10" customFormat="1" x14ac:dyDescent="0.25">
      <c r="A1199" s="10" t="str">
        <f>"0611861853100"</f>
        <v>0611861853100</v>
      </c>
      <c r="B1199" s="10" t="str">
        <f>"CN5158"</f>
        <v>CN5158</v>
      </c>
      <c r="C1199" s="10" t="s">
        <v>1178</v>
      </c>
    </row>
    <row r="1200" spans="1:3" s="10" customFormat="1" x14ac:dyDescent="0.25">
      <c r="A1200" s="10" t="str">
        <f>"0611861854100"</f>
        <v>0611861854100</v>
      </c>
      <c r="B1200" s="10" t="str">
        <f>"CN5156"</f>
        <v>CN5156</v>
      </c>
      <c r="C1200" s="10" t="s">
        <v>1179</v>
      </c>
    </row>
    <row r="1201" spans="1:3" s="10" customFormat="1" x14ac:dyDescent="0.25">
      <c r="A1201" s="10" t="str">
        <f>"0611884189050"</f>
        <v>0611884189050</v>
      </c>
      <c r="B1201" s="10" t="str">
        <f>"CR5427"</f>
        <v>CR5427</v>
      </c>
      <c r="C1201" s="10" t="s">
        <v>1180</v>
      </c>
    </row>
    <row r="1202" spans="1:3" s="10" customFormat="1" x14ac:dyDescent="0.25">
      <c r="A1202" s="10" t="str">
        <f>"0611884190050"</f>
        <v>0611884190050</v>
      </c>
      <c r="B1202" s="10" t="str">
        <f>"CR5428"</f>
        <v>CR5428</v>
      </c>
      <c r="C1202" s="10" t="s">
        <v>1181</v>
      </c>
    </row>
    <row r="1203" spans="1:3" s="10" customFormat="1" x14ac:dyDescent="0.25">
      <c r="A1203" s="10" t="str">
        <f>"0611884191050"</f>
        <v>0611884191050</v>
      </c>
      <c r="B1203" s="10" t="str">
        <f>"CR5425"</f>
        <v>CR5425</v>
      </c>
      <c r="C1203" s="10" t="s">
        <v>1182</v>
      </c>
    </row>
    <row r="1204" spans="1:3" s="10" customFormat="1" x14ac:dyDescent="0.25">
      <c r="A1204" s="10" t="str">
        <f>"0611884192050"</f>
        <v>0611884192050</v>
      </c>
      <c r="B1204" s="10" t="str">
        <f>"CR5426"</f>
        <v>CR5426</v>
      </c>
      <c r="C1204" s="10" t="s">
        <v>1183</v>
      </c>
    </row>
    <row r="1205" spans="1:3" s="10" customFormat="1" x14ac:dyDescent="0.25">
      <c r="A1205" s="10" t="str">
        <f>"0611884193050"</f>
        <v>0611884193050</v>
      </c>
      <c r="B1205" s="10" t="str">
        <f>"CR5429"</f>
        <v>CR5429</v>
      </c>
      <c r="C1205" s="10" t="s">
        <v>1184</v>
      </c>
    </row>
    <row r="1206" spans="1:3" s="10" customFormat="1" x14ac:dyDescent="0.25">
      <c r="A1206" s="10" t="str">
        <f>"0611861874050"</f>
        <v>0611861874050</v>
      </c>
      <c r="B1206" s="10" t="str">
        <f>"CR2943"</f>
        <v>CR2943</v>
      </c>
      <c r="C1206" s="10" t="s">
        <v>1185</v>
      </c>
    </row>
    <row r="1207" spans="1:3" s="10" customFormat="1" x14ac:dyDescent="0.25">
      <c r="A1207" s="10" t="str">
        <f>"0611861875100"</f>
        <v>0611861875100</v>
      </c>
      <c r="B1207" s="10" t="str">
        <f>"CN2031"</f>
        <v>CN2031</v>
      </c>
      <c r="C1207" s="10" t="s">
        <v>1186</v>
      </c>
    </row>
    <row r="1208" spans="1:3" s="10" customFormat="1" x14ac:dyDescent="0.25">
      <c r="A1208" s="10" t="str">
        <f>"0611861876100"</f>
        <v>0611861876100</v>
      </c>
      <c r="B1208" s="10" t="str">
        <f>"CN2032"</f>
        <v>CN2032</v>
      </c>
      <c r="C1208" s="10" t="s">
        <v>1187</v>
      </c>
    </row>
    <row r="1209" spans="1:3" s="10" customFormat="1" x14ac:dyDescent="0.25">
      <c r="A1209" s="10" t="str">
        <f>"0611861877100"</f>
        <v>0611861877100</v>
      </c>
      <c r="B1209" s="10" t="str">
        <f>"CN2034"</f>
        <v>CN2034</v>
      </c>
      <c r="C1209" s="10" t="s">
        <v>1188</v>
      </c>
    </row>
    <row r="1210" spans="1:3" s="10" customFormat="1" x14ac:dyDescent="0.25">
      <c r="A1210" s="10" t="str">
        <f>"0611861878100"</f>
        <v>0611861878100</v>
      </c>
      <c r="B1210" s="10" t="str">
        <f>"CN2276"</f>
        <v>CN2276</v>
      </c>
      <c r="C1210" s="10" t="s">
        <v>1189</v>
      </c>
    </row>
    <row r="1211" spans="1:3" s="10" customFormat="1" x14ac:dyDescent="0.25">
      <c r="A1211" s="10" t="str">
        <f>"0611861879100"</f>
        <v>0611861879100</v>
      </c>
      <c r="B1211" s="10" t="str">
        <f>"CN2039"</f>
        <v>CN2039</v>
      </c>
      <c r="C1211" s="10" t="s">
        <v>1190</v>
      </c>
    </row>
    <row r="1212" spans="1:3" s="10" customFormat="1" x14ac:dyDescent="0.25">
      <c r="A1212" s="10" t="str">
        <f>"0611906564100"</f>
        <v>0611906564100</v>
      </c>
      <c r="B1212" s="10" t="str">
        <f>"CN2406"</f>
        <v>CN2406</v>
      </c>
      <c r="C1212" s="10" t="s">
        <v>1191</v>
      </c>
    </row>
    <row r="1213" spans="1:3" s="10" customFormat="1" x14ac:dyDescent="0.25">
      <c r="A1213" s="10" t="str">
        <f>"0611893594100"</f>
        <v>0611893594100</v>
      </c>
      <c r="B1213" s="10" t="str">
        <f>"CN2407"</f>
        <v>CN2407</v>
      </c>
      <c r="C1213" s="10" t="s">
        <v>1192</v>
      </c>
    </row>
    <row r="1214" spans="1:3" s="10" customFormat="1" x14ac:dyDescent="0.25">
      <c r="A1214" s="10" t="str">
        <f>"0611861880100"</f>
        <v>0611861880100</v>
      </c>
      <c r="B1214" s="10" t="str">
        <f>"CN2040"</f>
        <v>CN2040</v>
      </c>
      <c r="C1214" s="10" t="s">
        <v>1193</v>
      </c>
    </row>
    <row r="1215" spans="1:3" s="10" customFormat="1" x14ac:dyDescent="0.25">
      <c r="A1215" s="10" t="str">
        <f>"0611861881100"</f>
        <v>0611861881100</v>
      </c>
      <c r="B1215" s="10" t="str">
        <f>"CN2041"</f>
        <v>CN2041</v>
      </c>
      <c r="C1215" s="10" t="s">
        <v>1194</v>
      </c>
    </row>
    <row r="1216" spans="1:3" s="10" customFormat="1" x14ac:dyDescent="0.25">
      <c r="A1216" s="10" t="str">
        <f>"0611861882100"</f>
        <v>0611861882100</v>
      </c>
      <c r="B1216" s="10" t="str">
        <f>"CN2042"</f>
        <v>CN2042</v>
      </c>
      <c r="C1216" s="10" t="s">
        <v>1195</v>
      </c>
    </row>
    <row r="1217" spans="1:3" s="10" customFormat="1" x14ac:dyDescent="0.25">
      <c r="A1217" s="10" t="str">
        <f>"0611861883100"</f>
        <v>0611861883100</v>
      </c>
      <c r="B1217" s="10" t="str">
        <f>"CN2043"</f>
        <v>CN2043</v>
      </c>
      <c r="C1217" s="10" t="s">
        <v>1196</v>
      </c>
    </row>
    <row r="1218" spans="1:3" s="10" customFormat="1" x14ac:dyDescent="0.25">
      <c r="A1218" s="10" t="str">
        <f>"0611861884100"</f>
        <v>0611861884100</v>
      </c>
      <c r="B1218" s="10" t="str">
        <f>"CN2044"</f>
        <v>CN2044</v>
      </c>
      <c r="C1218" s="10" t="s">
        <v>1197</v>
      </c>
    </row>
    <row r="1219" spans="1:3" s="10" customFormat="1" x14ac:dyDescent="0.25">
      <c r="A1219" s="10" t="str">
        <f>"0611861885100"</f>
        <v>0611861885100</v>
      </c>
      <c r="B1219" s="10" t="str">
        <f>"CN2045"</f>
        <v>CN2045</v>
      </c>
      <c r="C1219" s="10" t="s">
        <v>1198</v>
      </c>
    </row>
    <row r="1220" spans="1:3" s="10" customFormat="1" x14ac:dyDescent="0.25">
      <c r="A1220" s="10" t="str">
        <f>"0611861886100"</f>
        <v>0611861886100</v>
      </c>
      <c r="B1220" s="10" t="str">
        <f>"CN2046"</f>
        <v>CN2046</v>
      </c>
      <c r="C1220" s="10" t="s">
        <v>1199</v>
      </c>
    </row>
    <row r="1221" spans="1:3" s="10" customFormat="1" x14ac:dyDescent="0.25">
      <c r="A1221" s="10" t="str">
        <f>"0611861887100"</f>
        <v>0611861887100</v>
      </c>
      <c r="B1221" s="10" t="str">
        <f>"CN2047"</f>
        <v>CN2047</v>
      </c>
      <c r="C1221" s="10" t="s">
        <v>1200</v>
      </c>
    </row>
    <row r="1222" spans="1:3" s="10" customFormat="1" x14ac:dyDescent="0.25">
      <c r="A1222" s="10" t="str">
        <f>"0611861888100"</f>
        <v>0611861888100</v>
      </c>
      <c r="B1222" s="10" t="str">
        <f>"CN2048"</f>
        <v>CN2048</v>
      </c>
      <c r="C1222" s="10" t="s">
        <v>1201</v>
      </c>
    </row>
    <row r="1223" spans="1:3" s="10" customFormat="1" x14ac:dyDescent="0.25">
      <c r="A1223" s="10" t="str">
        <f>"0611861889100"</f>
        <v>0611861889100</v>
      </c>
      <c r="B1223" s="10" t="str">
        <f>"CN2049"</f>
        <v>CN2049</v>
      </c>
      <c r="C1223" s="10" t="s">
        <v>1202</v>
      </c>
    </row>
    <row r="1224" spans="1:3" s="10" customFormat="1" x14ac:dyDescent="0.25">
      <c r="A1224" s="10" t="str">
        <f>"0611861890100"</f>
        <v>0611861890100</v>
      </c>
      <c r="B1224" s="10" t="str">
        <f>"CN2270"</f>
        <v>CN2270</v>
      </c>
      <c r="C1224" s="10" t="s">
        <v>1203</v>
      </c>
    </row>
    <row r="1225" spans="1:3" s="10" customFormat="1" x14ac:dyDescent="0.25">
      <c r="A1225" s="10" t="str">
        <f>"0611861891100"</f>
        <v>0611861891100</v>
      </c>
      <c r="B1225" s="10" t="str">
        <f>"CN2051"</f>
        <v>CN2051</v>
      </c>
      <c r="C1225" s="10" t="s">
        <v>1204</v>
      </c>
    </row>
    <row r="1226" spans="1:3" s="10" customFormat="1" x14ac:dyDescent="0.25">
      <c r="A1226" s="10" t="str">
        <f>"0611861892100"</f>
        <v>0611861892100</v>
      </c>
      <c r="B1226" s="10" t="str">
        <f>"CN2035"</f>
        <v>CN2035</v>
      </c>
      <c r="C1226" s="10" t="s">
        <v>1205</v>
      </c>
    </row>
    <row r="1227" spans="1:3" s="10" customFormat="1" x14ac:dyDescent="0.25">
      <c r="A1227" s="10" t="str">
        <f>"0611861893100"</f>
        <v>0611861893100</v>
      </c>
      <c r="B1227" s="10" t="str">
        <f>"CN2052"</f>
        <v>CN2052</v>
      </c>
      <c r="C1227" s="10" t="s">
        <v>1206</v>
      </c>
    </row>
    <row r="1228" spans="1:3" s="10" customFormat="1" x14ac:dyDescent="0.25">
      <c r="A1228" s="10" t="str">
        <f>"0611861894100"</f>
        <v>0611861894100</v>
      </c>
      <c r="B1228" s="10" t="str">
        <f>"CN2053"</f>
        <v>CN2053</v>
      </c>
      <c r="C1228" s="10" t="s">
        <v>1207</v>
      </c>
    </row>
    <row r="1229" spans="1:3" s="10" customFormat="1" x14ac:dyDescent="0.25">
      <c r="A1229" s="10" t="str">
        <f>"0611861895100"</f>
        <v>0611861895100</v>
      </c>
      <c r="B1229" s="10" t="str">
        <f>"CN2054"</f>
        <v>CN2054</v>
      </c>
      <c r="C1229" s="10" t="s">
        <v>1208</v>
      </c>
    </row>
    <row r="1230" spans="1:3" s="10" customFormat="1" x14ac:dyDescent="0.25">
      <c r="A1230" s="10" t="str">
        <f>"0611861896100"</f>
        <v>0611861896100</v>
      </c>
      <c r="B1230" s="10" t="str">
        <f>"CN2057"</f>
        <v>CN2057</v>
      </c>
      <c r="C1230" s="10" t="s">
        <v>1209</v>
      </c>
    </row>
    <row r="1231" spans="1:3" s="10" customFormat="1" x14ac:dyDescent="0.25">
      <c r="A1231" s="10" t="str">
        <f>"0611861897100"</f>
        <v>0611861897100</v>
      </c>
      <c r="B1231" s="10" t="str">
        <f>"CN2058"</f>
        <v>CN2058</v>
      </c>
      <c r="C1231" s="10" t="s">
        <v>1210</v>
      </c>
    </row>
    <row r="1232" spans="1:3" s="10" customFormat="1" x14ac:dyDescent="0.25">
      <c r="A1232" s="10" t="str">
        <f>"0611861898100"</f>
        <v>0611861898100</v>
      </c>
      <c r="B1232" s="10" t="str">
        <f>"CN2275"</f>
        <v>CN2275</v>
      </c>
      <c r="C1232" s="10" t="s">
        <v>1211</v>
      </c>
    </row>
    <row r="1233" spans="1:3" s="10" customFormat="1" x14ac:dyDescent="0.25">
      <c r="A1233" s="10" t="str">
        <f>"0611861899100"</f>
        <v>0611861899100</v>
      </c>
      <c r="B1233" s="10" t="str">
        <f>"CN2059"</f>
        <v>CN2059</v>
      </c>
      <c r="C1233" s="10" t="s">
        <v>1212</v>
      </c>
    </row>
    <row r="1234" spans="1:3" s="10" customFormat="1" x14ac:dyDescent="0.25">
      <c r="A1234" s="10" t="str">
        <f>"0611861900100"</f>
        <v>0611861900100</v>
      </c>
      <c r="B1234" s="10" t="str">
        <f>"CN2036"</f>
        <v>CN2036</v>
      </c>
      <c r="C1234" s="10" t="s">
        <v>1213</v>
      </c>
    </row>
    <row r="1235" spans="1:3" s="10" customFormat="1" x14ac:dyDescent="0.25">
      <c r="A1235" s="10" t="str">
        <f>"0611861901100"</f>
        <v>0611861901100</v>
      </c>
      <c r="B1235" s="10" t="str">
        <f>"CN2086"</f>
        <v>CN2086</v>
      </c>
      <c r="C1235" s="10" t="s">
        <v>1214</v>
      </c>
    </row>
    <row r="1236" spans="1:3" s="10" customFormat="1" x14ac:dyDescent="0.25">
      <c r="A1236" s="10" t="str">
        <f>"0611861902100"</f>
        <v>0611861902100</v>
      </c>
      <c r="B1236" s="10" t="str">
        <f>"CN2060"</f>
        <v>CN2060</v>
      </c>
      <c r="C1236" s="10" t="s">
        <v>1215</v>
      </c>
    </row>
    <row r="1237" spans="1:3" s="10" customFormat="1" x14ac:dyDescent="0.25">
      <c r="A1237" s="10" t="str">
        <f>"0611861903100"</f>
        <v>0611861903100</v>
      </c>
      <c r="B1237" s="10" t="str">
        <f>"CN2061"</f>
        <v>CN2061</v>
      </c>
      <c r="C1237" s="10" t="s">
        <v>1216</v>
      </c>
    </row>
    <row r="1238" spans="1:3" s="10" customFormat="1" x14ac:dyDescent="0.25">
      <c r="A1238" s="10" t="str">
        <f>"0611861904100"</f>
        <v>0611861904100</v>
      </c>
      <c r="B1238" s="10" t="str">
        <f>"CN2064"</f>
        <v>CN2064</v>
      </c>
      <c r="C1238" s="10" t="s">
        <v>1217</v>
      </c>
    </row>
    <row r="1239" spans="1:3" s="10" customFormat="1" x14ac:dyDescent="0.25">
      <c r="A1239" s="10" t="str">
        <f>"0611861905100"</f>
        <v>0611861905100</v>
      </c>
      <c r="B1239" s="10" t="str">
        <f>"CN2063"</f>
        <v>CN2063</v>
      </c>
      <c r="C1239" s="10" t="s">
        <v>1218</v>
      </c>
    </row>
    <row r="1240" spans="1:3" s="10" customFormat="1" x14ac:dyDescent="0.25">
      <c r="A1240" s="10" t="str">
        <f>"0611861907100"</f>
        <v>0611861907100</v>
      </c>
      <c r="B1240" s="10" t="str">
        <f>"CN2065"</f>
        <v>CN2065</v>
      </c>
      <c r="C1240" s="10" t="s">
        <v>1219</v>
      </c>
    </row>
    <row r="1241" spans="1:3" s="10" customFormat="1" x14ac:dyDescent="0.25">
      <c r="A1241" s="10" t="str">
        <f>"0611861908100"</f>
        <v>0611861908100</v>
      </c>
      <c r="B1241" s="10" t="str">
        <f>"CN2066"</f>
        <v>CN2066</v>
      </c>
      <c r="C1241" s="10" t="s">
        <v>1220</v>
      </c>
    </row>
    <row r="1242" spans="1:3" s="10" customFormat="1" x14ac:dyDescent="0.25">
      <c r="A1242" s="10" t="str">
        <f>"0611861910100"</f>
        <v>0611861910100</v>
      </c>
      <c r="B1242" s="10" t="str">
        <f>"CN2062"</f>
        <v>CN2062</v>
      </c>
      <c r="C1242" s="10" t="s">
        <v>1221</v>
      </c>
    </row>
    <row r="1243" spans="1:3" s="10" customFormat="1" x14ac:dyDescent="0.25">
      <c r="A1243" s="10" t="str">
        <f>"0611861912100"</f>
        <v>0611861912100</v>
      </c>
      <c r="B1243" s="10" t="str">
        <f>"CN2037"</f>
        <v>CN2037</v>
      </c>
      <c r="C1243" s="10" t="s">
        <v>1222</v>
      </c>
    </row>
    <row r="1244" spans="1:3" s="10" customFormat="1" x14ac:dyDescent="0.25">
      <c r="A1244" s="10" t="str">
        <f>"0611861913100"</f>
        <v>0611861913100</v>
      </c>
      <c r="B1244" s="10" t="str">
        <f>"CN2069"</f>
        <v>CN2069</v>
      </c>
      <c r="C1244" s="10" t="s">
        <v>1223</v>
      </c>
    </row>
    <row r="1245" spans="1:3" s="10" customFormat="1" x14ac:dyDescent="0.25">
      <c r="A1245" s="10" t="str">
        <f>"0611861914100"</f>
        <v>0611861914100</v>
      </c>
      <c r="B1245" s="10" t="str">
        <f>"CN2070"</f>
        <v>CN2070</v>
      </c>
      <c r="C1245" s="10" t="s">
        <v>1224</v>
      </c>
    </row>
    <row r="1246" spans="1:3" s="10" customFormat="1" x14ac:dyDescent="0.25">
      <c r="A1246" s="10" t="str">
        <f>"0611884195100"</f>
        <v>0611884195100</v>
      </c>
      <c r="B1246" s="10" t="str">
        <f>"CN2410"</f>
        <v>CN2410</v>
      </c>
      <c r="C1246" s="10" t="s">
        <v>1225</v>
      </c>
    </row>
    <row r="1247" spans="1:3" s="10" customFormat="1" x14ac:dyDescent="0.25">
      <c r="A1247" s="10" t="str">
        <f>"0611861915100"</f>
        <v>0611861915100</v>
      </c>
      <c r="B1247" s="10" t="str">
        <f>"CN2071"</f>
        <v>CN2071</v>
      </c>
      <c r="C1247" s="10" t="s">
        <v>1226</v>
      </c>
    </row>
    <row r="1248" spans="1:3" s="10" customFormat="1" x14ac:dyDescent="0.25">
      <c r="A1248" s="10" t="str">
        <f>"0611861916100"</f>
        <v>0611861916100</v>
      </c>
      <c r="B1248" s="10" t="str">
        <f>"CN2320"</f>
        <v>CN2320</v>
      </c>
      <c r="C1248" s="10" t="s">
        <v>1227</v>
      </c>
    </row>
    <row r="1249" spans="1:3" s="10" customFormat="1" x14ac:dyDescent="0.25">
      <c r="A1249" s="10" t="str">
        <f>"0611861917100"</f>
        <v>0611861917100</v>
      </c>
      <c r="B1249" s="10" t="str">
        <f>"CN2073"</f>
        <v>CN2073</v>
      </c>
      <c r="C1249" s="10" t="s">
        <v>1228</v>
      </c>
    </row>
    <row r="1250" spans="1:3" s="10" customFormat="1" x14ac:dyDescent="0.25">
      <c r="A1250" s="10" t="str">
        <f>"0611861918100"</f>
        <v>0611861918100</v>
      </c>
      <c r="B1250" s="10" t="str">
        <f>"CN2074"</f>
        <v>CN2074</v>
      </c>
      <c r="C1250" s="10" t="s">
        <v>1229</v>
      </c>
    </row>
    <row r="1251" spans="1:3" s="10" customFormat="1" x14ac:dyDescent="0.25">
      <c r="A1251" s="10" t="str">
        <f>"0611861919100"</f>
        <v>0611861919100</v>
      </c>
      <c r="B1251" s="10" t="str">
        <f>"CN2075"</f>
        <v>CN2075</v>
      </c>
      <c r="C1251" s="10" t="s">
        <v>1230</v>
      </c>
    </row>
    <row r="1252" spans="1:3" s="10" customFormat="1" x14ac:dyDescent="0.25">
      <c r="A1252" s="10" t="str">
        <f>"0611861920100"</f>
        <v>0611861920100</v>
      </c>
      <c r="B1252" s="10" t="str">
        <f>"CN2076"</f>
        <v>CN2076</v>
      </c>
      <c r="C1252" s="10" t="s">
        <v>1231</v>
      </c>
    </row>
    <row r="1253" spans="1:3" s="10" customFormat="1" x14ac:dyDescent="0.25">
      <c r="A1253" s="10" t="str">
        <f>"0611861921100"</f>
        <v>0611861921100</v>
      </c>
      <c r="B1253" s="10" t="str">
        <f>"CN2077"</f>
        <v>CN2077</v>
      </c>
      <c r="C1253" s="10" t="s">
        <v>1232</v>
      </c>
    </row>
    <row r="1254" spans="1:3" s="10" customFormat="1" x14ac:dyDescent="0.25">
      <c r="A1254" s="10" t="str">
        <f>"0611861922100"</f>
        <v>0611861922100</v>
      </c>
      <c r="B1254" s="10" t="str">
        <f>"CN2078"</f>
        <v>CN2078</v>
      </c>
      <c r="C1254" s="10" t="s">
        <v>1233</v>
      </c>
    </row>
    <row r="1255" spans="1:3" s="10" customFormat="1" x14ac:dyDescent="0.25">
      <c r="A1255" s="10" t="str">
        <f>"0611861923100"</f>
        <v>0611861923100</v>
      </c>
      <c r="B1255" s="10" t="str">
        <f>"CN2079"</f>
        <v>CN2079</v>
      </c>
      <c r="C1255" s="10" t="s">
        <v>1234</v>
      </c>
    </row>
    <row r="1256" spans="1:3" s="10" customFormat="1" x14ac:dyDescent="0.25">
      <c r="A1256" s="10" t="str">
        <f>"0611861924100"</f>
        <v>0611861924100</v>
      </c>
      <c r="B1256" s="10" t="str">
        <f>"CN2080"</f>
        <v>CN2080</v>
      </c>
      <c r="C1256" s="10" t="s">
        <v>1235</v>
      </c>
    </row>
    <row r="1257" spans="1:3" s="10" customFormat="1" x14ac:dyDescent="0.25">
      <c r="A1257" s="10" t="str">
        <f>"0611861925100"</f>
        <v>0611861925100</v>
      </c>
      <c r="B1257" s="10" t="str">
        <f>"CN2081"</f>
        <v>CN2081</v>
      </c>
      <c r="C1257" s="10" t="s">
        <v>1236</v>
      </c>
    </row>
    <row r="1258" spans="1:3" s="10" customFormat="1" x14ac:dyDescent="0.25">
      <c r="A1258" s="10" t="str">
        <f>"0611861926100"</f>
        <v>0611861926100</v>
      </c>
      <c r="B1258" s="10" t="str">
        <f>"CN2082"</f>
        <v>CN2082</v>
      </c>
      <c r="C1258" s="10" t="s">
        <v>1237</v>
      </c>
    </row>
    <row r="1259" spans="1:3" s="10" customFormat="1" x14ac:dyDescent="0.25">
      <c r="A1259" s="10" t="str">
        <f>"0611861927100"</f>
        <v>0611861927100</v>
      </c>
      <c r="B1259" s="10" t="str">
        <f>"CN2084"</f>
        <v>CN2084</v>
      </c>
      <c r="C1259" s="10" t="s">
        <v>1239</v>
      </c>
    </row>
    <row r="1260" spans="1:3" s="10" customFormat="1" x14ac:dyDescent="0.25">
      <c r="A1260" s="10" t="str">
        <f>"0611861928100"</f>
        <v>0611861928100</v>
      </c>
      <c r="B1260" s="10" t="str">
        <f>"CN2085"</f>
        <v>CN2085</v>
      </c>
      <c r="C1260" s="10" t="s">
        <v>1240</v>
      </c>
    </row>
    <row r="1261" spans="1:3" s="10" customFormat="1" x14ac:dyDescent="0.25">
      <c r="A1261" s="10" t="str">
        <f>"0611861929100"</f>
        <v>0611861929100</v>
      </c>
      <c r="B1261" s="10" t="str">
        <f>"CN2083"</f>
        <v>CN2083</v>
      </c>
      <c r="C1261" s="10" t="s">
        <v>1238</v>
      </c>
    </row>
    <row r="1262" spans="1:3" s="10" customFormat="1" x14ac:dyDescent="0.25">
      <c r="A1262" s="10" t="str">
        <f>"0611861930100"</f>
        <v>0611861930100</v>
      </c>
      <c r="B1262" s="10" t="str">
        <f>"CN2271"</f>
        <v>CN2271</v>
      </c>
      <c r="C1262" s="10" t="s">
        <v>1241</v>
      </c>
    </row>
    <row r="1263" spans="1:3" s="10" customFormat="1" x14ac:dyDescent="0.25">
      <c r="A1263" s="10" t="str">
        <f>"0611906565100"</f>
        <v>0611906565100</v>
      </c>
      <c r="B1263" s="10" t="str">
        <f>"CN2412"</f>
        <v>CN2412</v>
      </c>
      <c r="C1263" s="10" t="s">
        <v>1242</v>
      </c>
    </row>
    <row r="1264" spans="1:3" s="10" customFormat="1" x14ac:dyDescent="0.25">
      <c r="A1264" s="10" t="str">
        <f>"0611861931100"</f>
        <v>0611861931100</v>
      </c>
      <c r="B1264" s="10" t="str">
        <f>"CN2033"</f>
        <v>CN2033</v>
      </c>
      <c r="C1264" s="10" t="s">
        <v>1243</v>
      </c>
    </row>
    <row r="1265" spans="1:3" s="10" customFormat="1" x14ac:dyDescent="0.25">
      <c r="A1265" s="10" t="str">
        <f>"0611861932100"</f>
        <v>0611861932100</v>
      </c>
      <c r="B1265" s="10" t="str">
        <f>"CN2038"</f>
        <v>CN2038</v>
      </c>
      <c r="C1265" s="10" t="s">
        <v>1244</v>
      </c>
    </row>
    <row r="1266" spans="1:3" s="10" customFormat="1" x14ac:dyDescent="0.25">
      <c r="A1266" s="10" t="str">
        <f>"0611861933100"</f>
        <v>0611861933100</v>
      </c>
      <c r="B1266" s="10" t="str">
        <f>"CN2089"</f>
        <v>CN2089</v>
      </c>
      <c r="C1266" s="10" t="s">
        <v>1245</v>
      </c>
    </row>
    <row r="1267" spans="1:3" s="10" customFormat="1" x14ac:dyDescent="0.25">
      <c r="A1267" s="10" t="str">
        <f>"0611861934100"</f>
        <v>0611861934100</v>
      </c>
      <c r="B1267" s="10" t="str">
        <f>"CN2335"</f>
        <v>CN2335</v>
      </c>
      <c r="C1267" s="10" t="s">
        <v>1246</v>
      </c>
    </row>
    <row r="1268" spans="1:3" s="10" customFormat="1" x14ac:dyDescent="0.25">
      <c r="A1268" s="10" t="str">
        <f>"0611861935100"</f>
        <v>0611861935100</v>
      </c>
      <c r="B1268" s="10" t="str">
        <f>"CN2090"</f>
        <v>CN2090</v>
      </c>
      <c r="C1268" s="10" t="s">
        <v>1247</v>
      </c>
    </row>
    <row r="1269" spans="1:3" s="10" customFormat="1" x14ac:dyDescent="0.25">
      <c r="A1269" s="10" t="str">
        <f>"0611861936100"</f>
        <v>0611861936100</v>
      </c>
      <c r="B1269" s="10" t="str">
        <f>"CN2091"</f>
        <v>CN2091</v>
      </c>
      <c r="C1269" s="10" t="s">
        <v>1248</v>
      </c>
    </row>
    <row r="1270" spans="1:3" s="10" customFormat="1" x14ac:dyDescent="0.25">
      <c r="A1270" s="10" t="str">
        <f>"0611861937100"</f>
        <v>0611861937100</v>
      </c>
      <c r="B1270" s="10" t="str">
        <f>"CN2092"</f>
        <v>CN2092</v>
      </c>
      <c r="C1270" s="10" t="s">
        <v>1249</v>
      </c>
    </row>
    <row r="1271" spans="1:3" s="10" customFormat="1" x14ac:dyDescent="0.25">
      <c r="A1271" s="10" t="str">
        <f>"0611861938100"</f>
        <v>0611861938100</v>
      </c>
      <c r="B1271" s="10" t="str">
        <f>"CN2093"</f>
        <v>CN2093</v>
      </c>
      <c r="C1271" s="10" t="s">
        <v>1250</v>
      </c>
    </row>
    <row r="1272" spans="1:3" s="10" customFormat="1" x14ac:dyDescent="0.25">
      <c r="A1272" s="10" t="str">
        <f>"0611861939100"</f>
        <v>0611861939100</v>
      </c>
      <c r="B1272" s="10" t="str">
        <f>"CN2094"</f>
        <v>CN2094</v>
      </c>
      <c r="C1272" s="10" t="s">
        <v>1251</v>
      </c>
    </row>
    <row r="1273" spans="1:3" s="10" customFormat="1" x14ac:dyDescent="0.25">
      <c r="A1273" s="10" t="str">
        <f>"0611861940100"</f>
        <v>0611861940100</v>
      </c>
      <c r="B1273" s="10" t="str">
        <f>"CN2095"</f>
        <v>CN2095</v>
      </c>
      <c r="C1273" s="10" t="s">
        <v>1252</v>
      </c>
    </row>
    <row r="1274" spans="1:3" s="10" customFormat="1" x14ac:dyDescent="0.25">
      <c r="A1274" s="10" t="str">
        <f>"0611861941100"</f>
        <v>0611861941100</v>
      </c>
      <c r="B1274" s="10" t="str">
        <f>"CN2096"</f>
        <v>CN2096</v>
      </c>
      <c r="C1274" s="10" t="s">
        <v>1253</v>
      </c>
    </row>
    <row r="1275" spans="1:3" s="10" customFormat="1" x14ac:dyDescent="0.25">
      <c r="A1275" s="10" t="str">
        <f>"0611861942100"</f>
        <v>0611861942100</v>
      </c>
      <c r="B1275" s="10" t="str">
        <f>"CN2098"</f>
        <v>CN2098</v>
      </c>
      <c r="C1275" s="10" t="s">
        <v>1254</v>
      </c>
    </row>
    <row r="1276" spans="1:3" s="10" customFormat="1" x14ac:dyDescent="0.25">
      <c r="A1276" s="10" t="str">
        <f>"0611861943100"</f>
        <v>0611861943100</v>
      </c>
      <c r="B1276" s="10" t="str">
        <f>"CN2099"</f>
        <v>CN2099</v>
      </c>
      <c r="C1276" s="10" t="s">
        <v>1255</v>
      </c>
    </row>
    <row r="1277" spans="1:3" s="10" customFormat="1" x14ac:dyDescent="0.25">
      <c r="A1277" s="10" t="str">
        <f>"0611861944100"</f>
        <v>0611861944100</v>
      </c>
      <c r="B1277" s="10" t="str">
        <f>"CN2100"</f>
        <v>CN2100</v>
      </c>
      <c r="C1277" s="10" t="s">
        <v>1256</v>
      </c>
    </row>
    <row r="1278" spans="1:3" s="10" customFormat="1" x14ac:dyDescent="0.25">
      <c r="A1278" s="10" t="str">
        <f>"0611861945100"</f>
        <v>0611861945100</v>
      </c>
      <c r="B1278" s="10" t="str">
        <f>"CN2101"</f>
        <v>CN2101</v>
      </c>
      <c r="C1278" s="10" t="s">
        <v>1257</v>
      </c>
    </row>
    <row r="1279" spans="1:3" s="10" customFormat="1" x14ac:dyDescent="0.25">
      <c r="A1279" s="10" t="str">
        <f>"0611884196100"</f>
        <v>0611884196100</v>
      </c>
      <c r="B1279" s="10" t="str">
        <f>"CN2413"</f>
        <v>CN2413</v>
      </c>
      <c r="C1279" s="10" t="s">
        <v>1258</v>
      </c>
    </row>
    <row r="1280" spans="1:3" s="10" customFormat="1" x14ac:dyDescent="0.25">
      <c r="A1280" s="10" t="str">
        <f>"0611861946100"</f>
        <v>0611861946100</v>
      </c>
      <c r="B1280" s="10" t="str">
        <f>"CN2102"</f>
        <v>CN2102</v>
      </c>
      <c r="C1280" s="10" t="s">
        <v>1259</v>
      </c>
    </row>
    <row r="1281" spans="1:3" s="10" customFormat="1" x14ac:dyDescent="0.25">
      <c r="A1281" s="10" t="str">
        <f>"0611861947100"</f>
        <v>0611861947100</v>
      </c>
      <c r="B1281" s="10" t="str">
        <f>"CN2103"</f>
        <v>CN2103</v>
      </c>
      <c r="C1281" s="10" t="s">
        <v>1260</v>
      </c>
    </row>
    <row r="1282" spans="1:3" s="10" customFormat="1" x14ac:dyDescent="0.25">
      <c r="A1282" s="10" t="str">
        <f>"0611861948100"</f>
        <v>0611861948100</v>
      </c>
      <c r="B1282" s="10" t="str">
        <f>"CN2087"</f>
        <v>CN2087</v>
      </c>
      <c r="C1282" s="10" t="s">
        <v>1261</v>
      </c>
    </row>
    <row r="1283" spans="1:3" s="10" customFormat="1" x14ac:dyDescent="0.25">
      <c r="A1283" s="10" t="str">
        <f>"0611861949100"</f>
        <v>0611861949100</v>
      </c>
      <c r="B1283" s="10" t="str">
        <f>"CN2088"</f>
        <v>CN2088</v>
      </c>
      <c r="C1283" s="10" t="s">
        <v>1262</v>
      </c>
    </row>
    <row r="1284" spans="1:3" s="10" customFormat="1" x14ac:dyDescent="0.25">
      <c r="A1284" s="10" t="str">
        <f>"0611861950100"</f>
        <v>0611861950100</v>
      </c>
      <c r="B1284" s="10" t="str">
        <f>"CN2097"</f>
        <v>CN2097</v>
      </c>
      <c r="C1284" s="10" t="s">
        <v>1263</v>
      </c>
    </row>
    <row r="1285" spans="1:3" s="10" customFormat="1" x14ac:dyDescent="0.25">
      <c r="A1285" s="10" t="str">
        <f>"0611861951100"</f>
        <v>0611861951100</v>
      </c>
      <c r="B1285" s="10" t="str">
        <f>"CN2104"</f>
        <v>CN2104</v>
      </c>
      <c r="C1285" s="10" t="s">
        <v>1264</v>
      </c>
    </row>
    <row r="1286" spans="1:3" s="10" customFormat="1" x14ac:dyDescent="0.25">
      <c r="A1286" s="10" t="str">
        <f>"0611861953100"</f>
        <v>0611861953100</v>
      </c>
      <c r="B1286" s="10" t="str">
        <f>"CN2363"</f>
        <v>CN2363</v>
      </c>
      <c r="C1286" s="10" t="s">
        <v>1265</v>
      </c>
    </row>
    <row r="1287" spans="1:3" s="10" customFormat="1" x14ac:dyDescent="0.25">
      <c r="A1287" s="10" t="str">
        <f>"0611861954050"</f>
        <v>0611861954050</v>
      </c>
      <c r="B1287" s="10" t="str">
        <f>"CR5065"</f>
        <v>CR5065</v>
      </c>
      <c r="C1287" s="10" t="s">
        <v>1266</v>
      </c>
    </row>
    <row r="1288" spans="1:3" s="10" customFormat="1" x14ac:dyDescent="0.25">
      <c r="A1288" s="10" t="str">
        <f>"0611861955100"</f>
        <v>0611861955100</v>
      </c>
      <c r="B1288" s="10" t="str">
        <f>"CN2364"</f>
        <v>CN2364</v>
      </c>
      <c r="C1288" s="10" t="s">
        <v>1267</v>
      </c>
    </row>
    <row r="1289" spans="1:3" s="10" customFormat="1" x14ac:dyDescent="0.25">
      <c r="A1289" s="10" t="str">
        <f>"0611861956100"</f>
        <v>0611861956100</v>
      </c>
      <c r="B1289" s="10" t="str">
        <f>"CN2365"</f>
        <v>CN2365</v>
      </c>
      <c r="C1289" s="10" t="s">
        <v>1268</v>
      </c>
    </row>
    <row r="1290" spans="1:3" s="10" customFormat="1" x14ac:dyDescent="0.25">
      <c r="A1290" s="10" t="str">
        <f>"0611861957100"</f>
        <v>0611861957100</v>
      </c>
      <c r="B1290" s="10" t="str">
        <f>"CN2366"</f>
        <v>CN2366</v>
      </c>
      <c r="C1290" s="10" t="s">
        <v>1269</v>
      </c>
    </row>
    <row r="1291" spans="1:3" s="10" customFormat="1" x14ac:dyDescent="0.25">
      <c r="A1291" s="10" t="str">
        <f>"0611893595100"</f>
        <v>0611893595100</v>
      </c>
      <c r="B1291" s="10" t="str">
        <f>"CN5492"</f>
        <v>CN5492</v>
      </c>
      <c r="C1291" s="10" t="s">
        <v>1270</v>
      </c>
    </row>
    <row r="1292" spans="1:3" s="10" customFormat="1" x14ac:dyDescent="0.25">
      <c r="A1292" s="10" t="str">
        <f>"0611861961050"</f>
        <v>0611861961050</v>
      </c>
      <c r="B1292" s="10" t="str">
        <f>"CR4706"</f>
        <v>CR4706</v>
      </c>
      <c r="C1292" s="10" t="s">
        <v>1271</v>
      </c>
    </row>
    <row r="1293" spans="1:3" s="10" customFormat="1" x14ac:dyDescent="0.25">
      <c r="A1293" s="10" t="str">
        <f>"0611861962050"</f>
        <v>0611861962050</v>
      </c>
      <c r="B1293" s="10" t="str">
        <f>"CR4712"</f>
        <v>CR4712</v>
      </c>
      <c r="C1293" s="10" t="s">
        <v>1272</v>
      </c>
    </row>
    <row r="1294" spans="1:3" s="10" customFormat="1" x14ac:dyDescent="0.25">
      <c r="A1294" s="10" t="str">
        <f>"0611861963050"</f>
        <v>0611861963050</v>
      </c>
      <c r="B1294" s="10" t="str">
        <f>"CR4717"</f>
        <v>CR4717</v>
      </c>
      <c r="C1294" s="10" t="s">
        <v>1273</v>
      </c>
    </row>
    <row r="1295" spans="1:3" s="10" customFormat="1" x14ac:dyDescent="0.25">
      <c r="A1295" s="10" t="str">
        <f>"0611861964050"</f>
        <v>0611861964050</v>
      </c>
      <c r="B1295" s="10" t="str">
        <f>"CR4754"</f>
        <v>CR4754</v>
      </c>
      <c r="C1295" s="10" t="s">
        <v>1274</v>
      </c>
    </row>
    <row r="1296" spans="1:3" s="10" customFormat="1" x14ac:dyDescent="0.25">
      <c r="A1296" s="10" t="str">
        <f>"0611861965100"</f>
        <v>0611861965100</v>
      </c>
      <c r="B1296" s="10" t="str">
        <f>"CN5159"</f>
        <v>CN5159</v>
      </c>
      <c r="C1296" s="10" t="s">
        <v>1275</v>
      </c>
    </row>
    <row r="1297" spans="1:3" s="10" customFormat="1" x14ac:dyDescent="0.25">
      <c r="A1297" s="10" t="str">
        <f>"0611861967100"</f>
        <v>0611861967100</v>
      </c>
      <c r="B1297" s="10" t="str">
        <f>"CN5160"</f>
        <v>CN5160</v>
      </c>
      <c r="C1297" s="10" t="s">
        <v>1276</v>
      </c>
    </row>
    <row r="1298" spans="1:3" s="10" customFormat="1" x14ac:dyDescent="0.25">
      <c r="A1298" s="10" t="str">
        <f>"0611861968100"</f>
        <v>0611861968100</v>
      </c>
      <c r="B1298" s="10" t="str">
        <f>"CN2308"</f>
        <v>CN2308</v>
      </c>
      <c r="C1298" s="10" t="s">
        <v>1277</v>
      </c>
    </row>
    <row r="1299" spans="1:3" s="10" customFormat="1" x14ac:dyDescent="0.25">
      <c r="A1299" s="10" t="str">
        <f>"0611861969100"</f>
        <v>0611861969100</v>
      </c>
      <c r="B1299" s="10" t="str">
        <f>"CN5165"</f>
        <v>CN5165</v>
      </c>
      <c r="C1299" s="10" t="s">
        <v>1278</v>
      </c>
    </row>
    <row r="1300" spans="1:3" s="10" customFormat="1" x14ac:dyDescent="0.25">
      <c r="A1300" s="10" t="str">
        <f>"0611861973100"</f>
        <v>0611861973100</v>
      </c>
      <c r="B1300" s="10" t="str">
        <f>"CN5162"</f>
        <v>CN5162</v>
      </c>
      <c r="C1300" s="10" t="s">
        <v>1279</v>
      </c>
    </row>
    <row r="1301" spans="1:3" s="10" customFormat="1" x14ac:dyDescent="0.25">
      <c r="A1301" s="10" t="str">
        <f>"0611861974050"</f>
        <v>0611861974050</v>
      </c>
      <c r="B1301" s="10" t="str">
        <f>"CR4595"</f>
        <v>CR4595</v>
      </c>
      <c r="C1301" s="10" t="s">
        <v>1280</v>
      </c>
    </row>
    <row r="1302" spans="1:3" s="10" customFormat="1" x14ac:dyDescent="0.25">
      <c r="A1302" s="10" t="str">
        <f>"0611861975050"</f>
        <v>0611861975050</v>
      </c>
      <c r="B1302" s="10" t="str">
        <f>"CR4600"</f>
        <v>CR4600</v>
      </c>
      <c r="C1302" s="10" t="s">
        <v>1281</v>
      </c>
    </row>
    <row r="1303" spans="1:3" s="10" customFormat="1" x14ac:dyDescent="0.25">
      <c r="A1303" s="10" t="str">
        <f>"0611861976050"</f>
        <v>0611861976050</v>
      </c>
      <c r="B1303" s="10" t="str">
        <f>"CR4599"</f>
        <v>CR4599</v>
      </c>
      <c r="C1303" s="10" t="s">
        <v>1282</v>
      </c>
    </row>
    <row r="1304" spans="1:3" s="10" customFormat="1" x14ac:dyDescent="0.25">
      <c r="A1304" s="10" t="str">
        <f>"0611861977050"</f>
        <v>0611861977050</v>
      </c>
      <c r="B1304" s="10" t="str">
        <f>"CR4887"</f>
        <v>CR4887</v>
      </c>
      <c r="C1304" s="10" t="s">
        <v>1283</v>
      </c>
    </row>
    <row r="1305" spans="1:3" s="10" customFormat="1" x14ac:dyDescent="0.25">
      <c r="A1305" s="10" t="str">
        <f>"0611861978050"</f>
        <v>0611861978050</v>
      </c>
      <c r="B1305" s="10" t="str">
        <f>"CR4592"</f>
        <v>CR4592</v>
      </c>
      <c r="C1305" s="10" t="s">
        <v>1284</v>
      </c>
    </row>
    <row r="1306" spans="1:3" s="10" customFormat="1" x14ac:dyDescent="0.25">
      <c r="A1306" s="10" t="str">
        <f>"0611861979050"</f>
        <v>0611861979050</v>
      </c>
      <c r="B1306" s="10" t="str">
        <f>"CR4596"</f>
        <v>CR4596</v>
      </c>
      <c r="C1306" s="10" t="s">
        <v>1285</v>
      </c>
    </row>
    <row r="1307" spans="1:3" s="10" customFormat="1" x14ac:dyDescent="0.25">
      <c r="A1307" s="10" t="str">
        <f>"0611861980050"</f>
        <v>0611861980050</v>
      </c>
      <c r="B1307" s="10" t="str">
        <f>"CR4888"</f>
        <v>CR4888</v>
      </c>
      <c r="C1307" s="10" t="s">
        <v>1286</v>
      </c>
    </row>
    <row r="1308" spans="1:3" s="10" customFormat="1" x14ac:dyDescent="0.25">
      <c r="A1308" s="10" t="str">
        <f>"0611861981050"</f>
        <v>0611861981050</v>
      </c>
      <c r="B1308" s="10" t="str">
        <f>"CR4601"</f>
        <v>CR4601</v>
      </c>
      <c r="C1308" s="10" t="s">
        <v>1287</v>
      </c>
    </row>
    <row r="1309" spans="1:3" s="10" customFormat="1" x14ac:dyDescent="0.25">
      <c r="A1309" s="10" t="str">
        <f>"0611861982050"</f>
        <v>0611861982050</v>
      </c>
      <c r="B1309" s="10" t="str">
        <f>"CR4593"</f>
        <v>CR4593</v>
      </c>
      <c r="C1309" s="10" t="s">
        <v>1288</v>
      </c>
    </row>
    <row r="1310" spans="1:3" s="10" customFormat="1" x14ac:dyDescent="0.25">
      <c r="A1310" s="10" t="str">
        <f>"0611861983050"</f>
        <v>0611861983050</v>
      </c>
      <c r="B1310" s="10" t="str">
        <f>"CR4889"</f>
        <v>CR4889</v>
      </c>
      <c r="C1310" s="10" t="s">
        <v>1289</v>
      </c>
    </row>
    <row r="1311" spans="1:3" s="10" customFormat="1" x14ac:dyDescent="0.25">
      <c r="A1311" s="10" t="str">
        <f>"0611861984050"</f>
        <v>0611861984050</v>
      </c>
      <c r="B1311" s="10" t="str">
        <f>"CR4597"</f>
        <v>CR4597</v>
      </c>
      <c r="C1311" s="10" t="s">
        <v>1290</v>
      </c>
    </row>
    <row r="1312" spans="1:3" s="10" customFormat="1" x14ac:dyDescent="0.25">
      <c r="A1312" s="10" t="str">
        <f>"0611861985050"</f>
        <v>0611861985050</v>
      </c>
      <c r="B1312" s="10" t="str">
        <f>"CR4598"</f>
        <v>CR4598</v>
      </c>
      <c r="C1312" s="10" t="s">
        <v>1291</v>
      </c>
    </row>
    <row r="1313" spans="1:3" s="10" customFormat="1" x14ac:dyDescent="0.25">
      <c r="A1313" s="10" t="str">
        <f>"0611861986050"</f>
        <v>0611861986050</v>
      </c>
      <c r="B1313" s="10" t="str">
        <f>"CR4594"</f>
        <v>CR4594</v>
      </c>
      <c r="C1313" s="10" t="s">
        <v>1292</v>
      </c>
    </row>
    <row r="1314" spans="1:3" s="10" customFormat="1" x14ac:dyDescent="0.25">
      <c r="A1314" s="10" t="str">
        <f>"0611861987050"</f>
        <v>0611861987050</v>
      </c>
      <c r="B1314" s="10" t="str">
        <f>"CR4602"</f>
        <v>CR4602</v>
      </c>
      <c r="C1314" s="10" t="s">
        <v>1293</v>
      </c>
    </row>
    <row r="1315" spans="1:3" s="10" customFormat="1" x14ac:dyDescent="0.25">
      <c r="A1315" s="10" t="str">
        <f>"0611861988050"</f>
        <v>0611861988050</v>
      </c>
      <c r="B1315" s="10" t="str">
        <f>"CR4603"</f>
        <v>CR4603</v>
      </c>
      <c r="C1315" s="10" t="s">
        <v>1294</v>
      </c>
    </row>
    <row r="1316" spans="1:3" s="10" customFormat="1" x14ac:dyDescent="0.25">
      <c r="A1316" s="10" t="str">
        <f>"0611861989050"</f>
        <v>0611861989050</v>
      </c>
      <c r="B1316" s="10" t="str">
        <f>"CR4604"</f>
        <v>CR4604</v>
      </c>
      <c r="C1316" s="10" t="s">
        <v>1295</v>
      </c>
    </row>
    <row r="1317" spans="1:3" s="10" customFormat="1" x14ac:dyDescent="0.25">
      <c r="A1317" s="10" t="str">
        <f>"0611861990050"</f>
        <v>0611861990050</v>
      </c>
      <c r="B1317" s="10" t="str">
        <f>"CR4605"</f>
        <v>CR4605</v>
      </c>
      <c r="C1317" s="10" t="s">
        <v>1296</v>
      </c>
    </row>
    <row r="1318" spans="1:3" s="10" customFormat="1" x14ac:dyDescent="0.25">
      <c r="A1318" s="10" t="str">
        <f>"0611861991050"</f>
        <v>0611861991050</v>
      </c>
      <c r="B1318" s="10" t="str">
        <f>"CR4606"</f>
        <v>CR4606</v>
      </c>
      <c r="C1318" s="10" t="s">
        <v>1297</v>
      </c>
    </row>
    <row r="1319" spans="1:3" s="10" customFormat="1" x14ac:dyDescent="0.25">
      <c r="A1319" s="10" t="str">
        <f>"0611861992050"</f>
        <v>0611861992050</v>
      </c>
      <c r="B1319" s="10" t="str">
        <f>"CR4607"</f>
        <v>CR4607</v>
      </c>
      <c r="C1319" s="10" t="s">
        <v>1298</v>
      </c>
    </row>
    <row r="1320" spans="1:3" s="10" customFormat="1" x14ac:dyDescent="0.25">
      <c r="A1320" s="10" t="str">
        <f>"0611861993100"</f>
        <v>0611861993100</v>
      </c>
      <c r="B1320" s="10" t="str">
        <f>"CN5161"</f>
        <v>CN5161</v>
      </c>
      <c r="C1320" s="10" t="s">
        <v>1299</v>
      </c>
    </row>
    <row r="1321" spans="1:3" s="10" customFormat="1" x14ac:dyDescent="0.25">
      <c r="A1321" s="10" t="str">
        <f>"0611861994050"</f>
        <v>0611861994050</v>
      </c>
      <c r="B1321" s="10" t="str">
        <f>"CR3695"</f>
        <v>CR3695</v>
      </c>
      <c r="C1321" s="10" t="s">
        <v>1300</v>
      </c>
    </row>
    <row r="1322" spans="1:3" s="10" customFormat="1" x14ac:dyDescent="0.25">
      <c r="A1322" s="10" t="str">
        <f>"0611861995100"</f>
        <v>0611861995100</v>
      </c>
      <c r="B1322" s="10" t="str">
        <f>"CN5163"</f>
        <v>CN5163</v>
      </c>
      <c r="C1322" s="10" t="s">
        <v>1301</v>
      </c>
    </row>
    <row r="1323" spans="1:3" s="10" customFormat="1" x14ac:dyDescent="0.25">
      <c r="A1323" s="10" t="str">
        <f>"0611861996050"</f>
        <v>0611861996050</v>
      </c>
      <c r="B1323" s="10" t="str">
        <f>"CR2198"</f>
        <v>CR2198</v>
      </c>
      <c r="C1323" s="10" t="s">
        <v>1302</v>
      </c>
    </row>
    <row r="1324" spans="1:3" s="10" customFormat="1" x14ac:dyDescent="0.25">
      <c r="A1324" s="10" t="str">
        <f>"0611861997050"</f>
        <v>0611861997050</v>
      </c>
      <c r="B1324" s="10" t="str">
        <f>"CR2199"</f>
        <v>CR2199</v>
      </c>
      <c r="C1324" s="10" t="s">
        <v>1303</v>
      </c>
    </row>
    <row r="1325" spans="1:3" s="10" customFormat="1" x14ac:dyDescent="0.25">
      <c r="A1325" s="10" t="str">
        <f>"0611861998050"</f>
        <v>0611861998050</v>
      </c>
      <c r="B1325" s="10" t="str">
        <f>"CR2200"</f>
        <v>CR2200</v>
      </c>
      <c r="C1325" s="10" t="s">
        <v>1304</v>
      </c>
    </row>
    <row r="1326" spans="1:3" s="10" customFormat="1" x14ac:dyDescent="0.25">
      <c r="A1326" s="10" t="str">
        <f>"0611861999050"</f>
        <v>0611861999050</v>
      </c>
      <c r="B1326" s="10" t="str">
        <f>"CR2201"</f>
        <v>CR2201</v>
      </c>
      <c r="C1326" s="10" t="s">
        <v>1305</v>
      </c>
    </row>
    <row r="1327" spans="1:3" s="10" customFormat="1" x14ac:dyDescent="0.25">
      <c r="A1327" s="10" t="str">
        <f>"0611862000050"</f>
        <v>0611862000050</v>
      </c>
      <c r="B1327" s="10" t="str">
        <f>"CR2202"</f>
        <v>CR2202</v>
      </c>
      <c r="C1327" s="10" t="s">
        <v>1306</v>
      </c>
    </row>
    <row r="1328" spans="1:3" s="10" customFormat="1" x14ac:dyDescent="0.25">
      <c r="A1328" s="10" t="str">
        <f>"0611862001100"</f>
        <v>0611862001100</v>
      </c>
      <c r="B1328" s="10" t="str">
        <f>"CN5164"</f>
        <v>CN5164</v>
      </c>
      <c r="C1328" s="10" t="s">
        <v>1307</v>
      </c>
    </row>
    <row r="1329" spans="1:3" s="10" customFormat="1" x14ac:dyDescent="0.25">
      <c r="A1329" s="10" t="str">
        <f>"0611862002050"</f>
        <v>0611862002050</v>
      </c>
      <c r="B1329" s="10" t="str">
        <f>"CR4278"</f>
        <v>CR4278</v>
      </c>
      <c r="C1329" s="10" t="s">
        <v>1308</v>
      </c>
    </row>
    <row r="1330" spans="1:3" s="10" customFormat="1" x14ac:dyDescent="0.25">
      <c r="A1330" s="10" t="str">
        <f>"0611862003050"</f>
        <v>0611862003050</v>
      </c>
      <c r="B1330" s="10" t="str">
        <f>"CR4825"</f>
        <v>CR4825</v>
      </c>
      <c r="C1330" s="10" t="s">
        <v>1309</v>
      </c>
    </row>
    <row r="1331" spans="1:3" s="10" customFormat="1" x14ac:dyDescent="0.25">
      <c r="A1331" s="10" t="str">
        <f>"0611862004050"</f>
        <v>0611862004050</v>
      </c>
      <c r="B1331" s="10" t="str">
        <f>"CR2203"</f>
        <v>CR2203</v>
      </c>
      <c r="C1331" s="10" t="s">
        <v>1310</v>
      </c>
    </row>
    <row r="1332" spans="1:3" s="10" customFormat="1" x14ac:dyDescent="0.25">
      <c r="A1332" s="10" t="str">
        <f>"0611862005050"</f>
        <v>0611862005050</v>
      </c>
      <c r="B1332" s="10" t="str">
        <f>"CR2637"</f>
        <v>CR2637</v>
      </c>
      <c r="C1332" s="10" t="s">
        <v>1311</v>
      </c>
    </row>
    <row r="1333" spans="1:3" s="10" customFormat="1" x14ac:dyDescent="0.25">
      <c r="A1333" s="10" t="str">
        <f>"0611862013050"</f>
        <v>0611862013050</v>
      </c>
      <c r="B1333" s="10" t="str">
        <f>"CR3715"</f>
        <v>CR3715</v>
      </c>
      <c r="C1333" s="10" t="s">
        <v>1319</v>
      </c>
    </row>
    <row r="1334" spans="1:3" s="10" customFormat="1" x14ac:dyDescent="0.25">
      <c r="A1334" s="10" t="str">
        <f>"0611862006050"</f>
        <v>0611862006050</v>
      </c>
      <c r="B1334" s="10" t="str">
        <f>"CR2207"</f>
        <v>CR2207</v>
      </c>
      <c r="C1334" s="10" t="s">
        <v>1312</v>
      </c>
    </row>
    <row r="1335" spans="1:3" s="10" customFormat="1" x14ac:dyDescent="0.25">
      <c r="A1335" s="10" t="str">
        <f>"0611862014050"</f>
        <v>0611862014050</v>
      </c>
      <c r="B1335" s="10" t="str">
        <f>"CR3682"</f>
        <v>CR3682</v>
      </c>
      <c r="C1335" s="10" t="s">
        <v>1320</v>
      </c>
    </row>
    <row r="1336" spans="1:3" s="10" customFormat="1" x14ac:dyDescent="0.25">
      <c r="A1336" s="10" t="str">
        <f>"0611862007050"</f>
        <v>0611862007050</v>
      </c>
      <c r="B1336" s="10" t="str">
        <f>"CR3307"</f>
        <v>CR3307</v>
      </c>
      <c r="C1336" s="10" t="s">
        <v>1313</v>
      </c>
    </row>
    <row r="1337" spans="1:3" s="10" customFormat="1" x14ac:dyDescent="0.25">
      <c r="A1337" s="10" t="str">
        <f>"0611862008050"</f>
        <v>0611862008050</v>
      </c>
      <c r="B1337" s="10" t="str">
        <f>"CR2209"</f>
        <v>CR2209</v>
      </c>
      <c r="C1337" s="10" t="s">
        <v>1314</v>
      </c>
    </row>
    <row r="1338" spans="1:3" s="10" customFormat="1" x14ac:dyDescent="0.25">
      <c r="A1338" s="10" t="str">
        <f>"0611862009050"</f>
        <v>0611862009050</v>
      </c>
      <c r="B1338" s="10" t="str">
        <f>"CR2204"</f>
        <v>CR2204</v>
      </c>
      <c r="C1338" s="10" t="s">
        <v>1315</v>
      </c>
    </row>
    <row r="1339" spans="1:3" s="10" customFormat="1" x14ac:dyDescent="0.25">
      <c r="A1339" s="10" t="str">
        <f>"0611862015050"</f>
        <v>0611862015050</v>
      </c>
      <c r="B1339" s="10" t="str">
        <f>"CR2208"</f>
        <v>CR2208</v>
      </c>
      <c r="C1339" s="10" t="s">
        <v>1321</v>
      </c>
    </row>
    <row r="1340" spans="1:3" s="10" customFormat="1" x14ac:dyDescent="0.25">
      <c r="A1340" s="10" t="str">
        <f>"0611862016050"</f>
        <v>0611862016050</v>
      </c>
      <c r="B1340" s="10" t="str">
        <f>"CR4767"</f>
        <v>CR4767</v>
      </c>
      <c r="C1340" s="10" t="s">
        <v>1322</v>
      </c>
    </row>
    <row r="1341" spans="1:3" s="10" customFormat="1" x14ac:dyDescent="0.25">
      <c r="A1341" s="10" t="str">
        <f>"0611862010050"</f>
        <v>0611862010050</v>
      </c>
      <c r="B1341" s="10" t="str">
        <f>"CR2638"</f>
        <v>CR2638</v>
      </c>
      <c r="C1341" s="10" t="s">
        <v>1316</v>
      </c>
    </row>
    <row r="1342" spans="1:3" s="10" customFormat="1" x14ac:dyDescent="0.25">
      <c r="A1342" s="10" t="str">
        <f>"0611862018050"</f>
        <v>0611862018050</v>
      </c>
      <c r="B1342" s="10" t="str">
        <f>"CR3683"</f>
        <v>CR3683</v>
      </c>
      <c r="C1342" s="10" t="s">
        <v>1323</v>
      </c>
    </row>
    <row r="1343" spans="1:3" s="10" customFormat="1" x14ac:dyDescent="0.25">
      <c r="A1343" s="10" t="str">
        <f>"0611862011050"</f>
        <v>0611862011050</v>
      </c>
      <c r="B1343" s="10" t="str">
        <f>"CR2205"</f>
        <v>CR2205</v>
      </c>
      <c r="C1343" s="10" t="s">
        <v>1317</v>
      </c>
    </row>
    <row r="1344" spans="1:3" s="10" customFormat="1" x14ac:dyDescent="0.25">
      <c r="A1344" s="10" t="str">
        <f>"0611862012050"</f>
        <v>0611862012050</v>
      </c>
      <c r="B1344" s="10" t="str">
        <f>"CR2206"</f>
        <v>CR2206</v>
      </c>
      <c r="C1344" s="10" t="s">
        <v>1318</v>
      </c>
    </row>
    <row r="1345" spans="1:3" s="10" customFormat="1" x14ac:dyDescent="0.25">
      <c r="A1345" s="10" t="str">
        <f>"0611862020050"</f>
        <v>0611862020050</v>
      </c>
      <c r="B1345" s="10" t="str">
        <f>"CR2822"</f>
        <v>CR2822</v>
      </c>
      <c r="C1345" s="10" t="s">
        <v>1324</v>
      </c>
    </row>
    <row r="1346" spans="1:3" s="10" customFormat="1" x14ac:dyDescent="0.25">
      <c r="A1346" s="10" t="str">
        <f>"0611862021050"</f>
        <v>0611862021050</v>
      </c>
      <c r="B1346" s="10" t="str">
        <f>"CR2944"</f>
        <v>CR2944</v>
      </c>
      <c r="C1346" s="10" t="s">
        <v>1325</v>
      </c>
    </row>
    <row r="1347" spans="1:3" s="10" customFormat="1" x14ac:dyDescent="0.25">
      <c r="A1347" s="10" t="str">
        <f>"0611884213050"</f>
        <v>0611884213050</v>
      </c>
      <c r="B1347" s="10" t="str">
        <f>"CR5337"</f>
        <v>CR5337</v>
      </c>
      <c r="C1347" s="10" t="s">
        <v>1326</v>
      </c>
    </row>
    <row r="1348" spans="1:3" s="10" customFormat="1" x14ac:dyDescent="0.25">
      <c r="A1348" s="10" t="str">
        <f>"0611884214050"</f>
        <v>0611884214050</v>
      </c>
      <c r="B1348" s="10" t="str">
        <f>"CR5344"</f>
        <v>CR5344</v>
      </c>
      <c r="C1348" s="10" t="s">
        <v>1327</v>
      </c>
    </row>
    <row r="1349" spans="1:3" s="10" customFormat="1" x14ac:dyDescent="0.25">
      <c r="A1349" s="10" t="str">
        <f>"0611906566050"</f>
        <v>0611906566050</v>
      </c>
      <c r="B1349" s="10" t="str">
        <f>"CR5490"</f>
        <v>CR5490</v>
      </c>
      <c r="C1349" s="10" t="s">
        <v>1328</v>
      </c>
    </row>
    <row r="1350" spans="1:3" s="10" customFormat="1" x14ac:dyDescent="0.25">
      <c r="A1350" s="10" t="str">
        <f>"0611884215050"</f>
        <v>0611884215050</v>
      </c>
      <c r="B1350" s="10" t="str">
        <f>"CR5363"</f>
        <v>CR5363</v>
      </c>
      <c r="C1350" s="10" t="s">
        <v>1329</v>
      </c>
    </row>
    <row r="1351" spans="1:3" s="10" customFormat="1" x14ac:dyDescent="0.25">
      <c r="A1351" s="10" t="str">
        <f>"0611884216050"</f>
        <v>0611884216050</v>
      </c>
      <c r="B1351" s="10" t="str">
        <f>"CR5364"</f>
        <v>CR5364</v>
      </c>
      <c r="C1351" s="10" t="s">
        <v>1330</v>
      </c>
    </row>
    <row r="1352" spans="1:3" s="10" customFormat="1" x14ac:dyDescent="0.25">
      <c r="A1352" s="10" t="str">
        <f>"0611906567050"</f>
        <v>0611906567050</v>
      </c>
      <c r="B1352" s="10" t="str">
        <f>"CR5491"</f>
        <v>CR5491</v>
      </c>
      <c r="C1352" s="10" t="s">
        <v>1331</v>
      </c>
    </row>
    <row r="1353" spans="1:3" s="10" customFormat="1" x14ac:dyDescent="0.25">
      <c r="A1353" s="10" t="str">
        <f>"0611884217050"</f>
        <v>0611884217050</v>
      </c>
      <c r="B1353" s="10" t="str">
        <f>"CR5365"</f>
        <v>CR5365</v>
      </c>
      <c r="C1353" s="10" t="s">
        <v>1332</v>
      </c>
    </row>
    <row r="1354" spans="1:3" s="10" customFormat="1" x14ac:dyDescent="0.25">
      <c r="A1354" s="10" t="str">
        <f>"0611906568050"</f>
        <v>0611906568050</v>
      </c>
      <c r="B1354" s="10" t="str">
        <f>"CR5492"</f>
        <v>CR5492</v>
      </c>
      <c r="C1354" s="10" t="s">
        <v>1333</v>
      </c>
    </row>
    <row r="1355" spans="1:3" s="10" customFormat="1" x14ac:dyDescent="0.25">
      <c r="A1355" s="10" t="str">
        <f>"0611884218050"</f>
        <v>0611884218050</v>
      </c>
      <c r="B1355" s="10" t="str">
        <f>"CR5327"</f>
        <v>CR5327</v>
      </c>
      <c r="C1355" s="10" t="s">
        <v>1334</v>
      </c>
    </row>
    <row r="1356" spans="1:3" s="10" customFormat="1" x14ac:dyDescent="0.25">
      <c r="A1356" s="10" t="str">
        <f>"0611884219050"</f>
        <v>0611884219050</v>
      </c>
      <c r="B1356" s="10" t="str">
        <f>"CR5328"</f>
        <v>CR5328</v>
      </c>
      <c r="C1356" s="10" t="s">
        <v>1335</v>
      </c>
    </row>
    <row r="1357" spans="1:3" s="10" customFormat="1" x14ac:dyDescent="0.25">
      <c r="A1357" s="10" t="str">
        <f>"0611884220050"</f>
        <v>0611884220050</v>
      </c>
      <c r="B1357" s="10" t="str">
        <f>"CR5329"</f>
        <v>CR5329</v>
      </c>
      <c r="C1357" s="10" t="s">
        <v>1336</v>
      </c>
    </row>
    <row r="1358" spans="1:3" s="10" customFormat="1" x14ac:dyDescent="0.25">
      <c r="A1358" s="10" t="str">
        <f>"0611862022050"</f>
        <v>0611862022050</v>
      </c>
      <c r="B1358" s="10" t="str">
        <f>"CR3531"</f>
        <v>CR3531</v>
      </c>
      <c r="C1358" s="10" t="s">
        <v>1337</v>
      </c>
    </row>
    <row r="1359" spans="1:3" s="10" customFormat="1" x14ac:dyDescent="0.25">
      <c r="A1359" s="10" t="str">
        <f>"0611862035050"</f>
        <v>0611862035050</v>
      </c>
      <c r="B1359" s="10" t="str">
        <f>"CR2219"</f>
        <v>CR2219</v>
      </c>
      <c r="C1359" s="10" t="s">
        <v>1350</v>
      </c>
    </row>
    <row r="1360" spans="1:3" s="10" customFormat="1" x14ac:dyDescent="0.25">
      <c r="A1360" s="10" t="str">
        <f>"0611862023050"</f>
        <v>0611862023050</v>
      </c>
      <c r="B1360" s="10" t="str">
        <f>"CR2930"</f>
        <v>CR2930</v>
      </c>
      <c r="C1360" s="10" t="s">
        <v>1338</v>
      </c>
    </row>
    <row r="1361" spans="1:3" s="10" customFormat="1" x14ac:dyDescent="0.25">
      <c r="A1361" s="10" t="str">
        <f>"0611862024050"</f>
        <v>0611862024050</v>
      </c>
      <c r="B1361" s="10" t="str">
        <f>"CR2210"</f>
        <v>CR2210</v>
      </c>
      <c r="C1361" s="10" t="s">
        <v>1339</v>
      </c>
    </row>
    <row r="1362" spans="1:3" s="10" customFormat="1" x14ac:dyDescent="0.25">
      <c r="A1362" s="10" t="str">
        <f>"0611862025050"</f>
        <v>0611862025050</v>
      </c>
      <c r="B1362" s="10" t="str">
        <f>"CR2211"</f>
        <v>CR2211</v>
      </c>
      <c r="C1362" s="10" t="s">
        <v>1340</v>
      </c>
    </row>
    <row r="1363" spans="1:3" s="10" customFormat="1" x14ac:dyDescent="0.25">
      <c r="A1363" s="10" t="str">
        <f>"0611862026050"</f>
        <v>0611862026050</v>
      </c>
      <c r="B1363" s="10" t="str">
        <f>"CR3182"</f>
        <v>CR3182</v>
      </c>
      <c r="C1363" s="10" t="s">
        <v>1341</v>
      </c>
    </row>
    <row r="1364" spans="1:3" s="10" customFormat="1" x14ac:dyDescent="0.25">
      <c r="A1364" s="10" t="str">
        <f>"0611862027050"</f>
        <v>0611862027050</v>
      </c>
      <c r="B1364" s="10" t="str">
        <f>"CR2212"</f>
        <v>CR2212</v>
      </c>
      <c r="C1364" s="10" t="s">
        <v>1342</v>
      </c>
    </row>
    <row r="1365" spans="1:3" s="10" customFormat="1" x14ac:dyDescent="0.25">
      <c r="A1365" s="10" t="str">
        <f>"0611862040050"</f>
        <v>0611862040050</v>
      </c>
      <c r="B1365" s="10" t="str">
        <f>"CR2955"</f>
        <v>CR2955</v>
      </c>
      <c r="C1365" s="10" t="s">
        <v>1355</v>
      </c>
    </row>
    <row r="1366" spans="1:3" s="10" customFormat="1" x14ac:dyDescent="0.25">
      <c r="A1366" s="10" t="str">
        <f>"0611862041050"</f>
        <v>0611862041050</v>
      </c>
      <c r="B1366" s="10" t="str">
        <f>"CR2956"</f>
        <v>CR2956</v>
      </c>
      <c r="C1366" s="10" t="s">
        <v>1356</v>
      </c>
    </row>
    <row r="1367" spans="1:3" s="10" customFormat="1" x14ac:dyDescent="0.25">
      <c r="A1367" s="10" t="str">
        <f>"0611862028050"</f>
        <v>0611862028050</v>
      </c>
      <c r="B1367" s="10" t="str">
        <f>"CR2213"</f>
        <v>CR2213</v>
      </c>
      <c r="C1367" s="10" t="s">
        <v>1343</v>
      </c>
    </row>
    <row r="1368" spans="1:3" s="10" customFormat="1" x14ac:dyDescent="0.25">
      <c r="A1368" s="10" t="str">
        <f>"0611862029050"</f>
        <v>0611862029050</v>
      </c>
      <c r="B1368" s="10" t="str">
        <f>"CR2214"</f>
        <v>CR2214</v>
      </c>
      <c r="C1368" s="10" t="s">
        <v>1344</v>
      </c>
    </row>
    <row r="1369" spans="1:3" s="10" customFormat="1" x14ac:dyDescent="0.25">
      <c r="A1369" s="10" t="str">
        <f>"0611862036050"</f>
        <v>0611862036050</v>
      </c>
      <c r="B1369" s="10" t="str">
        <f>"CR2951"</f>
        <v>CR2951</v>
      </c>
      <c r="C1369" s="10" t="s">
        <v>1351</v>
      </c>
    </row>
    <row r="1370" spans="1:3" s="10" customFormat="1" x14ac:dyDescent="0.25">
      <c r="A1370" s="10" t="str">
        <f>"0611862037050"</f>
        <v>0611862037050</v>
      </c>
      <c r="B1370" s="10" t="str">
        <f>"CR2952"</f>
        <v>CR2952</v>
      </c>
      <c r="C1370" s="10" t="s">
        <v>1352</v>
      </c>
    </row>
    <row r="1371" spans="1:3" s="10" customFormat="1" x14ac:dyDescent="0.25">
      <c r="A1371" s="10" t="str">
        <f>"0611862030050"</f>
        <v>0611862030050</v>
      </c>
      <c r="B1371" s="10" t="str">
        <f>"CR3532"</f>
        <v>CR3532</v>
      </c>
      <c r="C1371" s="10" t="s">
        <v>1345</v>
      </c>
    </row>
    <row r="1372" spans="1:3" s="10" customFormat="1" x14ac:dyDescent="0.25">
      <c r="A1372" s="10" t="str">
        <f>"0611862031050"</f>
        <v>0611862031050</v>
      </c>
      <c r="B1372" s="10" t="str">
        <f>"CR2215"</f>
        <v>CR2215</v>
      </c>
      <c r="C1372" s="10" t="s">
        <v>1346</v>
      </c>
    </row>
    <row r="1373" spans="1:3" s="10" customFormat="1" x14ac:dyDescent="0.25">
      <c r="A1373" s="10" t="str">
        <f>"0611862038050"</f>
        <v>0611862038050</v>
      </c>
      <c r="B1373" s="10" t="str">
        <f>"CR2953"</f>
        <v>CR2953</v>
      </c>
      <c r="C1373" s="10" t="s">
        <v>1353</v>
      </c>
    </row>
    <row r="1374" spans="1:3" s="10" customFormat="1" x14ac:dyDescent="0.25">
      <c r="A1374" s="10" t="str">
        <f>"0611862032050"</f>
        <v>0611862032050</v>
      </c>
      <c r="B1374" s="10" t="str">
        <f>"CR4827"</f>
        <v>CR4827</v>
      </c>
      <c r="C1374" s="10" t="s">
        <v>1347</v>
      </c>
    </row>
    <row r="1375" spans="1:3" s="10" customFormat="1" x14ac:dyDescent="0.25">
      <c r="A1375" s="10" t="str">
        <f>"0611862033050"</f>
        <v>0611862033050</v>
      </c>
      <c r="B1375" s="10" t="str">
        <f>"CR2220"</f>
        <v>CR2220</v>
      </c>
      <c r="C1375" s="10" t="s">
        <v>1348</v>
      </c>
    </row>
    <row r="1376" spans="1:3" s="10" customFormat="1" x14ac:dyDescent="0.25">
      <c r="A1376" s="10" t="str">
        <f>"0611862034050"</f>
        <v>0611862034050</v>
      </c>
      <c r="B1376" s="10" t="str">
        <f>"CR2218"</f>
        <v>CR2218</v>
      </c>
      <c r="C1376" s="10" t="s">
        <v>1349</v>
      </c>
    </row>
    <row r="1377" spans="1:3" s="10" customFormat="1" x14ac:dyDescent="0.25">
      <c r="A1377" s="10" t="str">
        <f>"0611862042050"</f>
        <v>0611862042050</v>
      </c>
      <c r="B1377" s="10" t="str">
        <f>"CR3534"</f>
        <v>CR3534</v>
      </c>
      <c r="C1377" s="10" t="s">
        <v>1357</v>
      </c>
    </row>
    <row r="1378" spans="1:3" s="10" customFormat="1" x14ac:dyDescent="0.25">
      <c r="A1378" s="10" t="str">
        <f>"0611862039050"</f>
        <v>0611862039050</v>
      </c>
      <c r="B1378" s="10" t="str">
        <f>"CR2954"</f>
        <v>CR2954</v>
      </c>
      <c r="C1378" s="10" t="s">
        <v>1354</v>
      </c>
    </row>
    <row r="1379" spans="1:3" s="10" customFormat="1" x14ac:dyDescent="0.25">
      <c r="A1379" s="10" t="str">
        <f>"0611862043100"</f>
        <v>0611862043100</v>
      </c>
      <c r="B1379" s="10" t="str">
        <f>"CN5179"</f>
        <v>CN5179</v>
      </c>
      <c r="C1379" s="10" t="s">
        <v>1358</v>
      </c>
    </row>
    <row r="1380" spans="1:3" s="10" customFormat="1" x14ac:dyDescent="0.25">
      <c r="A1380" s="10" t="str">
        <f>"0611862044050"</f>
        <v>0611862044050</v>
      </c>
      <c r="B1380" s="10" t="str">
        <f>"CR4286"</f>
        <v>CR4286</v>
      </c>
      <c r="C1380" s="10" t="s">
        <v>1359</v>
      </c>
    </row>
    <row r="1381" spans="1:3" s="10" customFormat="1" x14ac:dyDescent="0.25">
      <c r="A1381" s="10" t="str">
        <f>"0611862045100"</f>
        <v>0611862045100</v>
      </c>
      <c r="B1381" s="10" t="str">
        <f>"CN5167"</f>
        <v>CN5167</v>
      </c>
      <c r="C1381" s="10" t="s">
        <v>1360</v>
      </c>
    </row>
    <row r="1382" spans="1:3" s="10" customFormat="1" x14ac:dyDescent="0.25">
      <c r="A1382" s="10" t="str">
        <f>"0611862048100"</f>
        <v>0611862048100</v>
      </c>
      <c r="B1382" s="10" t="str">
        <f>"CN5166"</f>
        <v>CN5166</v>
      </c>
      <c r="C1382" s="10" t="s">
        <v>1361</v>
      </c>
    </row>
    <row r="1383" spans="1:3" s="10" customFormat="1" x14ac:dyDescent="0.25">
      <c r="A1383" s="10" t="str">
        <f>"0611862050100"</f>
        <v>0611862050100</v>
      </c>
      <c r="B1383" s="10" t="str">
        <f>"CN5169"</f>
        <v>CN5169</v>
      </c>
      <c r="C1383" s="10" t="s">
        <v>1362</v>
      </c>
    </row>
    <row r="1384" spans="1:3" s="10" customFormat="1" x14ac:dyDescent="0.25">
      <c r="A1384" s="10" t="str">
        <f>"0611862051050"</f>
        <v>0611862051050</v>
      </c>
      <c r="B1384" s="10" t="str">
        <f>"CR3934"</f>
        <v>CR3934</v>
      </c>
      <c r="C1384" s="10" t="s">
        <v>1363</v>
      </c>
    </row>
    <row r="1385" spans="1:3" s="10" customFormat="1" x14ac:dyDescent="0.25">
      <c r="A1385" s="10" t="str">
        <f>"0611862052100"</f>
        <v>0611862052100</v>
      </c>
      <c r="B1385" s="10" t="str">
        <f>"CN2367"</f>
        <v>CN2367</v>
      </c>
      <c r="C1385" s="10" t="s">
        <v>1364</v>
      </c>
    </row>
    <row r="1386" spans="1:3" s="10" customFormat="1" x14ac:dyDescent="0.25">
      <c r="A1386" s="10" t="str">
        <f>"0611862053100"</f>
        <v>0611862053100</v>
      </c>
      <c r="B1386" s="10" t="str">
        <f>"CN2309"</f>
        <v>CN2309</v>
      </c>
      <c r="C1386" s="10" t="s">
        <v>1365</v>
      </c>
    </row>
    <row r="1387" spans="1:3" s="10" customFormat="1" x14ac:dyDescent="0.25">
      <c r="A1387" s="10" t="str">
        <f>"0611893596100"</f>
        <v>0611893596100</v>
      </c>
      <c r="B1387" s="10" t="str">
        <f>"CN5441"</f>
        <v>CN5441</v>
      </c>
      <c r="C1387" s="10" t="s">
        <v>1366</v>
      </c>
    </row>
    <row r="1388" spans="1:3" s="10" customFormat="1" x14ac:dyDescent="0.25">
      <c r="A1388" s="10" t="str">
        <f>"0611862054100"</f>
        <v>0611862054100</v>
      </c>
      <c r="B1388" s="10" t="str">
        <f>"CN5170"</f>
        <v>CN5170</v>
      </c>
      <c r="C1388" s="10" t="s">
        <v>1367</v>
      </c>
    </row>
    <row r="1389" spans="1:3" s="10" customFormat="1" x14ac:dyDescent="0.25">
      <c r="A1389" s="10" t="str">
        <f>"0611862056100"</f>
        <v>0611862056100</v>
      </c>
      <c r="B1389" s="10" t="str">
        <f>"CN2368"</f>
        <v>CN2368</v>
      </c>
      <c r="C1389" s="10" t="s">
        <v>1368</v>
      </c>
    </row>
    <row r="1390" spans="1:3" s="10" customFormat="1" x14ac:dyDescent="0.25">
      <c r="A1390" s="10" t="str">
        <f>"0611862057100"</f>
        <v>0611862057100</v>
      </c>
      <c r="B1390" s="10" t="str">
        <f>"CN5171"</f>
        <v>CN5171</v>
      </c>
      <c r="C1390" s="10" t="s">
        <v>1369</v>
      </c>
    </row>
    <row r="1391" spans="1:3" s="10" customFormat="1" x14ac:dyDescent="0.25">
      <c r="A1391" s="10" t="str">
        <f>"0611862058100"</f>
        <v>0611862058100</v>
      </c>
      <c r="B1391" s="10" t="str">
        <f>"CN5172"</f>
        <v>CN5172</v>
      </c>
      <c r="C1391" s="10" t="s">
        <v>1370</v>
      </c>
    </row>
    <row r="1392" spans="1:3" s="10" customFormat="1" x14ac:dyDescent="0.25">
      <c r="A1392" s="10" t="str">
        <f>"0611862059050"</f>
        <v>0611862059050</v>
      </c>
      <c r="B1392" s="10" t="str">
        <f>"CR3706"</f>
        <v>CR3706</v>
      </c>
      <c r="C1392" s="10" t="s">
        <v>1371</v>
      </c>
    </row>
    <row r="1393" spans="1:3" s="10" customFormat="1" x14ac:dyDescent="0.25">
      <c r="A1393" s="10" t="str">
        <f>"0611862060100"</f>
        <v>0611862060100</v>
      </c>
      <c r="B1393" s="10" t="str">
        <f>"CN5173"</f>
        <v>CN5173</v>
      </c>
      <c r="C1393" s="10" t="s">
        <v>1372</v>
      </c>
    </row>
    <row r="1394" spans="1:3" s="10" customFormat="1" x14ac:dyDescent="0.25">
      <c r="A1394" s="10" t="str">
        <f>"0611862061050"</f>
        <v>0611862061050</v>
      </c>
      <c r="B1394" s="10" t="str">
        <f>"CR3709"</f>
        <v>CR3709</v>
      </c>
      <c r="C1394" s="10" t="s">
        <v>1373</v>
      </c>
    </row>
    <row r="1395" spans="1:3" s="10" customFormat="1" x14ac:dyDescent="0.25">
      <c r="A1395" s="10" t="str">
        <f>"0611862066100"</f>
        <v>0611862066100</v>
      </c>
      <c r="B1395" s="10" t="str">
        <f>"CN5174"</f>
        <v>CN5174</v>
      </c>
      <c r="C1395" s="10" t="s">
        <v>1374</v>
      </c>
    </row>
    <row r="1396" spans="1:3" s="10" customFormat="1" x14ac:dyDescent="0.25">
      <c r="A1396" s="10" t="str">
        <f>"0611862067100"</f>
        <v>0611862067100</v>
      </c>
      <c r="B1396" s="10" t="str">
        <f>"CN5175"</f>
        <v>CN5175</v>
      </c>
      <c r="C1396" s="10" t="s">
        <v>1375</v>
      </c>
    </row>
    <row r="1397" spans="1:3" s="10" customFormat="1" x14ac:dyDescent="0.25">
      <c r="A1397" s="10" t="str">
        <f>"0611862069100"</f>
        <v>0611862069100</v>
      </c>
      <c r="B1397" s="10" t="str">
        <f>"CN5176"</f>
        <v>CN5176</v>
      </c>
      <c r="C1397" s="10" t="s">
        <v>1376</v>
      </c>
    </row>
    <row r="1398" spans="1:3" s="10" customFormat="1" x14ac:dyDescent="0.25">
      <c r="A1398" s="10" t="str">
        <f>"0611862070050"</f>
        <v>0611862070050</v>
      </c>
      <c r="B1398" s="10" t="str">
        <f>"CR4281"</f>
        <v>CR4281</v>
      </c>
      <c r="C1398" s="10" t="s">
        <v>1377</v>
      </c>
    </row>
    <row r="1399" spans="1:3" s="10" customFormat="1" x14ac:dyDescent="0.25">
      <c r="A1399" s="10" t="str">
        <f>"0611862071100"</f>
        <v>0611862071100</v>
      </c>
      <c r="B1399" s="10" t="str">
        <f>"CN5177"</f>
        <v>CN5177</v>
      </c>
      <c r="C1399" s="10" t="s">
        <v>1378</v>
      </c>
    </row>
    <row r="1400" spans="1:3" s="10" customFormat="1" x14ac:dyDescent="0.25">
      <c r="A1400" s="10" t="str">
        <f>"0611862073100"</f>
        <v>0611862073100</v>
      </c>
      <c r="B1400" s="10" t="str">
        <f>"CN5178"</f>
        <v>CN5178</v>
      </c>
      <c r="C1400" s="10" t="s">
        <v>1379</v>
      </c>
    </row>
    <row r="1401" spans="1:3" s="10" customFormat="1" x14ac:dyDescent="0.25">
      <c r="A1401" s="10" t="str">
        <f>"0611862075100"</f>
        <v>0611862075100</v>
      </c>
      <c r="B1401" s="10" t="str">
        <f>"CN5180"</f>
        <v>CN5180</v>
      </c>
      <c r="C1401" s="10" t="s">
        <v>1380</v>
      </c>
    </row>
    <row r="1402" spans="1:3" s="10" customFormat="1" x14ac:dyDescent="0.25">
      <c r="A1402" s="10" t="str">
        <f>"0611884221100"</f>
        <v>0611884221100</v>
      </c>
      <c r="B1402" s="10" t="str">
        <f>"CN5440"</f>
        <v>CN5440</v>
      </c>
      <c r="C1402" s="10" t="s">
        <v>1381</v>
      </c>
    </row>
    <row r="1403" spans="1:3" s="10" customFormat="1" x14ac:dyDescent="0.25">
      <c r="A1403" s="10" t="str">
        <f>"0611862092100"</f>
        <v>0611862092100</v>
      </c>
      <c r="B1403" s="10" t="str">
        <f>"CN2105"</f>
        <v>CN2105</v>
      </c>
      <c r="C1403" s="10" t="s">
        <v>1382</v>
      </c>
    </row>
    <row r="1404" spans="1:3" s="10" customFormat="1" x14ac:dyDescent="0.25">
      <c r="A1404" s="10" t="str">
        <f>"0611862093100"</f>
        <v>0611862093100</v>
      </c>
      <c r="B1404" s="10" t="str">
        <f>"CN2106"</f>
        <v>CN2106</v>
      </c>
      <c r="C1404" s="10" t="s">
        <v>1383</v>
      </c>
    </row>
    <row r="1405" spans="1:3" s="10" customFormat="1" x14ac:dyDescent="0.25">
      <c r="A1405" s="10" t="str">
        <f>"0611862094100"</f>
        <v>0611862094100</v>
      </c>
      <c r="B1405" s="10" t="str">
        <f>"CN2107"</f>
        <v>CN2107</v>
      </c>
      <c r="C1405" s="10" t="s">
        <v>1384</v>
      </c>
    </row>
    <row r="1406" spans="1:3" s="10" customFormat="1" x14ac:dyDescent="0.25">
      <c r="A1406" s="10" t="str">
        <f>"0611862095100"</f>
        <v>0611862095100</v>
      </c>
      <c r="B1406" s="10" t="str">
        <f>"CN2108"</f>
        <v>CN2108</v>
      </c>
      <c r="C1406" s="10" t="s">
        <v>1385</v>
      </c>
    </row>
    <row r="1407" spans="1:3" s="10" customFormat="1" x14ac:dyDescent="0.25">
      <c r="A1407" s="10" t="str">
        <f>"0611862096100"</f>
        <v>0611862096100</v>
      </c>
      <c r="B1407" s="10" t="str">
        <f>"CN2109"</f>
        <v>CN2109</v>
      </c>
      <c r="C1407" s="10" t="s">
        <v>1386</v>
      </c>
    </row>
    <row r="1408" spans="1:3" s="10" customFormat="1" x14ac:dyDescent="0.25">
      <c r="A1408" s="10" t="str">
        <f>"0611862097100"</f>
        <v>0611862097100</v>
      </c>
      <c r="B1408" s="10" t="str">
        <f>"CN2110"</f>
        <v>CN2110</v>
      </c>
      <c r="C1408" s="10" t="s">
        <v>1387</v>
      </c>
    </row>
    <row r="1409" spans="1:3" s="10" customFormat="1" x14ac:dyDescent="0.25">
      <c r="A1409" s="10" t="str">
        <f>"0611862098100"</f>
        <v>0611862098100</v>
      </c>
      <c r="B1409" s="10" t="str">
        <f>"CN2111"</f>
        <v>CN2111</v>
      </c>
      <c r="C1409" s="10" t="s">
        <v>1388</v>
      </c>
    </row>
    <row r="1410" spans="1:3" s="10" customFormat="1" x14ac:dyDescent="0.25">
      <c r="A1410" s="10" t="str">
        <f>"0611862099100"</f>
        <v>0611862099100</v>
      </c>
      <c r="B1410" s="10" t="str">
        <f>"CN2112"</f>
        <v>CN2112</v>
      </c>
      <c r="C1410" s="10" t="s">
        <v>1389</v>
      </c>
    </row>
    <row r="1411" spans="1:3" s="10" customFormat="1" x14ac:dyDescent="0.25">
      <c r="A1411" s="10" t="str">
        <f>"0611862100100"</f>
        <v>0611862100100</v>
      </c>
      <c r="B1411" s="10" t="str">
        <f>"CN2113"</f>
        <v>CN2113</v>
      </c>
      <c r="C1411" s="10" t="s">
        <v>1390</v>
      </c>
    </row>
    <row r="1412" spans="1:3" s="10" customFormat="1" x14ac:dyDescent="0.25">
      <c r="A1412" s="10" t="str">
        <f>"0611862101100"</f>
        <v>0611862101100</v>
      </c>
      <c r="B1412" s="10" t="str">
        <f>"CN2114"</f>
        <v>CN2114</v>
      </c>
      <c r="C1412" s="10" t="s">
        <v>1391</v>
      </c>
    </row>
    <row r="1413" spans="1:3" s="10" customFormat="1" x14ac:dyDescent="0.25">
      <c r="A1413" s="10" t="str">
        <f>"0611862102100"</f>
        <v>0611862102100</v>
      </c>
      <c r="B1413" s="10" t="str">
        <f>"CN2115"</f>
        <v>CN2115</v>
      </c>
      <c r="C1413" s="10" t="s">
        <v>1392</v>
      </c>
    </row>
    <row r="1414" spans="1:3" s="10" customFormat="1" x14ac:dyDescent="0.25">
      <c r="A1414" s="10" t="str">
        <f>"0611862103100"</f>
        <v>0611862103100</v>
      </c>
      <c r="B1414" s="10" t="str">
        <f>"CN2116"</f>
        <v>CN2116</v>
      </c>
      <c r="C1414" s="10" t="s">
        <v>1393</v>
      </c>
    </row>
    <row r="1415" spans="1:3" s="10" customFormat="1" x14ac:dyDescent="0.25">
      <c r="A1415" s="10" t="str">
        <f>"0611862104100"</f>
        <v>0611862104100</v>
      </c>
      <c r="B1415" s="10" t="str">
        <f>"CN2117"</f>
        <v>CN2117</v>
      </c>
      <c r="C1415" s="10" t="s">
        <v>1394</v>
      </c>
    </row>
    <row r="1416" spans="1:3" s="10" customFormat="1" x14ac:dyDescent="0.25">
      <c r="A1416" s="10" t="str">
        <f>"0611862105100"</f>
        <v>0611862105100</v>
      </c>
      <c r="B1416" s="10" t="str">
        <f>"CN2118"</f>
        <v>CN2118</v>
      </c>
      <c r="C1416" s="10" t="s">
        <v>1395</v>
      </c>
    </row>
    <row r="1417" spans="1:3" s="10" customFormat="1" x14ac:dyDescent="0.25">
      <c r="A1417" s="10" t="str">
        <f>"0611862106100"</f>
        <v>0611862106100</v>
      </c>
      <c r="B1417" s="10" t="str">
        <f>"CN2119"</f>
        <v>CN2119</v>
      </c>
      <c r="C1417" s="10" t="s">
        <v>1396</v>
      </c>
    </row>
    <row r="1418" spans="1:3" s="10" customFormat="1" x14ac:dyDescent="0.25">
      <c r="A1418" s="10" t="str">
        <f>"0611862107100"</f>
        <v>0611862107100</v>
      </c>
      <c r="B1418" s="10" t="str">
        <f>"CN2120"</f>
        <v>CN2120</v>
      </c>
      <c r="C1418" s="10" t="s">
        <v>1397</v>
      </c>
    </row>
    <row r="1419" spans="1:3" s="10" customFormat="1" x14ac:dyDescent="0.25">
      <c r="A1419" s="10" t="str">
        <f>"0611862108100"</f>
        <v>0611862108100</v>
      </c>
      <c r="B1419" s="10" t="str">
        <f>"CN5181"</f>
        <v>CN5181</v>
      </c>
      <c r="C1419" s="10" t="s">
        <v>1398</v>
      </c>
    </row>
    <row r="1420" spans="1:3" s="10" customFormat="1" x14ac:dyDescent="0.25">
      <c r="A1420" s="10" t="str">
        <f>"0611862109100"</f>
        <v>0611862109100</v>
      </c>
      <c r="B1420" s="10" t="str">
        <f>"CN5182"</f>
        <v>CN5182</v>
      </c>
      <c r="C1420" s="10" t="s">
        <v>1399</v>
      </c>
    </row>
    <row r="1421" spans="1:3" s="10" customFormat="1" x14ac:dyDescent="0.25">
      <c r="A1421" s="10" t="str">
        <f>"0611862110100"</f>
        <v>0611862110100</v>
      </c>
      <c r="B1421" s="10" t="str">
        <f>"CN2369"</f>
        <v>CN2369</v>
      </c>
      <c r="C1421" s="10" t="s">
        <v>1400</v>
      </c>
    </row>
    <row r="1422" spans="1:3" s="10" customFormat="1" x14ac:dyDescent="0.25">
      <c r="A1422" s="10" t="str">
        <f>"0611906569100"</f>
        <v>0611906569100</v>
      </c>
      <c r="B1422" s="10" t="str">
        <f>"CN2466"</f>
        <v>CN2466</v>
      </c>
      <c r="C1422" s="10" t="s">
        <v>1401</v>
      </c>
    </row>
    <row r="1423" spans="1:3" s="10" customFormat="1" x14ac:dyDescent="0.25">
      <c r="A1423" s="10" t="str">
        <f>"0611862111100"</f>
        <v>0611862111100</v>
      </c>
      <c r="B1423" s="10" t="str">
        <f>"CN5183"</f>
        <v>CN5183</v>
      </c>
      <c r="C1423" s="10" t="s">
        <v>1402</v>
      </c>
    </row>
    <row r="1424" spans="1:3" s="10" customFormat="1" x14ac:dyDescent="0.25">
      <c r="A1424" s="10" t="str">
        <f>"0611862112100"</f>
        <v>0611862112100</v>
      </c>
      <c r="B1424" s="10" t="str">
        <f>"CN5184"</f>
        <v>CN5184</v>
      </c>
      <c r="C1424" s="10" t="s">
        <v>1403</v>
      </c>
    </row>
    <row r="1425" spans="1:3" s="10" customFormat="1" x14ac:dyDescent="0.25">
      <c r="A1425" s="10" t="str">
        <f>"0611862113050"</f>
        <v>0611862113050</v>
      </c>
      <c r="B1425" s="10" t="str">
        <f>"CR3798"</f>
        <v>CR3798</v>
      </c>
      <c r="C1425" s="10" t="s">
        <v>1404</v>
      </c>
    </row>
    <row r="1426" spans="1:3" s="10" customFormat="1" x14ac:dyDescent="0.25">
      <c r="A1426" s="10" t="str">
        <f>"0611862114100"</f>
        <v>0611862114100</v>
      </c>
      <c r="B1426" s="10" t="str">
        <f>"CN5185"</f>
        <v>CN5185</v>
      </c>
      <c r="C1426" s="10" t="s">
        <v>1405</v>
      </c>
    </row>
    <row r="1427" spans="1:3" s="10" customFormat="1" x14ac:dyDescent="0.25">
      <c r="A1427" s="10" t="str">
        <f>"0611893597100"</f>
        <v>0611893597100</v>
      </c>
      <c r="B1427" s="10" t="str">
        <f>"CN2482"</f>
        <v>CN2482</v>
      </c>
      <c r="C1427" s="10" t="s">
        <v>1406</v>
      </c>
    </row>
    <row r="1428" spans="1:3" s="10" customFormat="1" x14ac:dyDescent="0.25">
      <c r="A1428" s="10" t="str">
        <f>"0611893598100"</f>
        <v>0611893598100</v>
      </c>
      <c r="B1428" s="10" t="str">
        <f>"CN2483"</f>
        <v>CN2483</v>
      </c>
      <c r="C1428" s="10" t="s">
        <v>1407</v>
      </c>
    </row>
    <row r="1429" spans="1:3" s="10" customFormat="1" x14ac:dyDescent="0.25">
      <c r="A1429" s="10" t="str">
        <f>"0611862115100"</f>
        <v>0611862115100</v>
      </c>
      <c r="B1429" s="10" t="str">
        <f>"CN5186"</f>
        <v>CN5186</v>
      </c>
      <c r="C1429" s="10" t="s">
        <v>1408</v>
      </c>
    </row>
    <row r="1430" spans="1:3" s="10" customFormat="1" x14ac:dyDescent="0.25">
      <c r="A1430" s="10" t="str">
        <f>"0611862116100"</f>
        <v>0611862116100</v>
      </c>
      <c r="B1430" s="10" t="str">
        <f>"CN5187"</f>
        <v>CN5187</v>
      </c>
      <c r="C1430" s="10" t="s">
        <v>1409</v>
      </c>
    </row>
    <row r="1431" spans="1:3" s="10" customFormat="1" x14ac:dyDescent="0.25">
      <c r="A1431" s="10" t="str">
        <f>"0611862117100"</f>
        <v>0611862117100</v>
      </c>
      <c r="B1431" s="10" t="str">
        <f>"CN5188"</f>
        <v>CN5188</v>
      </c>
      <c r="C1431" s="10" t="s">
        <v>1410</v>
      </c>
    </row>
    <row r="1432" spans="1:3" s="10" customFormat="1" x14ac:dyDescent="0.25">
      <c r="A1432" s="10" t="str">
        <f>"0611862119100"</f>
        <v>0611862119100</v>
      </c>
      <c r="B1432" s="10" t="str">
        <f>"CN5189"</f>
        <v>CN5189</v>
      </c>
      <c r="C1432" s="10" t="s">
        <v>1411</v>
      </c>
    </row>
    <row r="1433" spans="1:3" s="10" customFormat="1" x14ac:dyDescent="0.25">
      <c r="A1433" s="10" t="str">
        <f>"0611862140050"</f>
        <v>0611862140050</v>
      </c>
      <c r="B1433" s="10" t="str">
        <f>"CR4979"</f>
        <v>CR4979</v>
      </c>
      <c r="C1433" s="10" t="s">
        <v>1412</v>
      </c>
    </row>
    <row r="1434" spans="1:3" s="10" customFormat="1" x14ac:dyDescent="0.25">
      <c r="A1434" s="10" t="str">
        <f>"0611862141050"</f>
        <v>0611862141050</v>
      </c>
      <c r="B1434" s="10" t="str">
        <f>"CR3079"</f>
        <v>CR3079</v>
      </c>
      <c r="C1434" s="10" t="s">
        <v>1413</v>
      </c>
    </row>
    <row r="1435" spans="1:3" s="10" customFormat="1" x14ac:dyDescent="0.25">
      <c r="A1435" s="10" t="str">
        <f>"0611862142050"</f>
        <v>0611862142050</v>
      </c>
      <c r="B1435" s="10" t="str">
        <f>"CR3901"</f>
        <v>CR3901</v>
      </c>
      <c r="C1435" s="10" t="s">
        <v>1414</v>
      </c>
    </row>
    <row r="1436" spans="1:3" s="10" customFormat="1" x14ac:dyDescent="0.25">
      <c r="A1436" s="10" t="str">
        <f>"0611862143050"</f>
        <v>0611862143050</v>
      </c>
      <c r="B1436" s="10" t="str">
        <f>"CR2222"</f>
        <v>CR2222</v>
      </c>
      <c r="C1436" s="10" t="s">
        <v>1415</v>
      </c>
    </row>
    <row r="1437" spans="1:3" s="10" customFormat="1" x14ac:dyDescent="0.25">
      <c r="A1437" s="10" t="str">
        <f>"0611862144050"</f>
        <v>0611862144050</v>
      </c>
      <c r="B1437" s="10" t="str">
        <f>"CR2223"</f>
        <v>CR2223</v>
      </c>
      <c r="C1437" s="10" t="s">
        <v>1416</v>
      </c>
    </row>
    <row r="1438" spans="1:3" s="10" customFormat="1" x14ac:dyDescent="0.25">
      <c r="A1438" s="10" t="str">
        <f>"0611862145050"</f>
        <v>0611862145050</v>
      </c>
      <c r="B1438" s="10" t="str">
        <f>"CR2224"</f>
        <v>CR2224</v>
      </c>
      <c r="C1438" s="10" t="s">
        <v>1417</v>
      </c>
    </row>
    <row r="1439" spans="1:3" s="10" customFormat="1" x14ac:dyDescent="0.25">
      <c r="A1439" s="10" t="str">
        <f>"0611884228050"</f>
        <v>0611884228050</v>
      </c>
      <c r="B1439" s="10" t="str">
        <f>"CR5381"</f>
        <v>CR5381</v>
      </c>
      <c r="C1439" s="10" t="s">
        <v>1418</v>
      </c>
    </row>
    <row r="1440" spans="1:3" s="10" customFormat="1" x14ac:dyDescent="0.25">
      <c r="A1440" s="10" t="str">
        <f>"0611862146050"</f>
        <v>0611862146050</v>
      </c>
      <c r="B1440" s="10" t="str">
        <f>"CR4980"</f>
        <v>CR4980</v>
      </c>
      <c r="C1440" s="10" t="s">
        <v>1419</v>
      </c>
    </row>
    <row r="1441" spans="1:3" s="10" customFormat="1" x14ac:dyDescent="0.25">
      <c r="A1441" s="10" t="str">
        <f>"0611862147050"</f>
        <v>0611862147050</v>
      </c>
      <c r="B1441" s="10" t="str">
        <f>"CR4842"</f>
        <v>CR4842</v>
      </c>
      <c r="C1441" s="10" t="s">
        <v>1420</v>
      </c>
    </row>
    <row r="1442" spans="1:3" s="10" customFormat="1" x14ac:dyDescent="0.25">
      <c r="A1442" s="10" t="str">
        <f>"0611862148050"</f>
        <v>0611862148050</v>
      </c>
      <c r="B1442" s="10" t="str">
        <f>"CR5186"</f>
        <v>CR5186</v>
      </c>
      <c r="C1442" s="10" t="s">
        <v>1421</v>
      </c>
    </row>
    <row r="1443" spans="1:3" s="10" customFormat="1" x14ac:dyDescent="0.25">
      <c r="A1443" s="10" t="str">
        <f>"0611862149050"</f>
        <v>0611862149050</v>
      </c>
      <c r="B1443" s="10" t="str">
        <f>"CR4527"</f>
        <v>CR4527</v>
      </c>
      <c r="C1443" s="10" t="s">
        <v>1422</v>
      </c>
    </row>
    <row r="1444" spans="1:3" s="10" customFormat="1" x14ac:dyDescent="0.25">
      <c r="A1444" s="10" t="str">
        <f>"0611884229050"</f>
        <v>0611884229050</v>
      </c>
      <c r="B1444" s="10" t="str">
        <f>"CR5420"</f>
        <v>CR5420</v>
      </c>
      <c r="C1444" s="10" t="s">
        <v>1423</v>
      </c>
    </row>
    <row r="1445" spans="1:3" s="10" customFormat="1" x14ac:dyDescent="0.25">
      <c r="A1445" s="10" t="str">
        <f>"0611862156050"</f>
        <v>0611862156050</v>
      </c>
      <c r="B1445" s="10" t="str">
        <f>"CR2227"</f>
        <v>CR2227</v>
      </c>
      <c r="C1445" s="10" t="s">
        <v>1424</v>
      </c>
    </row>
    <row r="1446" spans="1:3" s="10" customFormat="1" x14ac:dyDescent="0.25">
      <c r="A1446" s="10" t="str">
        <f>"0611862157050"</f>
        <v>0611862157050</v>
      </c>
      <c r="B1446" s="10" t="str">
        <f>"CR2228"</f>
        <v>CR2228</v>
      </c>
      <c r="C1446" s="10" t="s">
        <v>1425</v>
      </c>
    </row>
    <row r="1447" spans="1:3" s="10" customFormat="1" x14ac:dyDescent="0.25">
      <c r="A1447" s="10" t="str">
        <f>"0611862158050"</f>
        <v>0611862158050</v>
      </c>
      <c r="B1447" s="10" t="str">
        <f>"CR2229"</f>
        <v>CR2229</v>
      </c>
      <c r="C1447" s="10" t="s">
        <v>1426</v>
      </c>
    </row>
    <row r="1448" spans="1:3" s="10" customFormat="1" x14ac:dyDescent="0.25">
      <c r="A1448" s="10" t="str">
        <f>"0611862159050"</f>
        <v>0611862159050</v>
      </c>
      <c r="B1448" s="10" t="str">
        <f>"CR2231"</f>
        <v>CR2231</v>
      </c>
      <c r="C1448" s="10" t="s">
        <v>1427</v>
      </c>
    </row>
    <row r="1449" spans="1:3" s="10" customFormat="1" x14ac:dyDescent="0.25">
      <c r="A1449" s="10" t="str">
        <f>"0611862155050"</f>
        <v>0611862155050</v>
      </c>
      <c r="B1449" s="10" t="str">
        <f>"CR2233"</f>
        <v>CR2233</v>
      </c>
      <c r="C1449" s="10" t="s">
        <v>1428</v>
      </c>
    </row>
    <row r="1450" spans="1:3" s="10" customFormat="1" x14ac:dyDescent="0.25">
      <c r="A1450" s="10" t="str">
        <f>"0611862210050"</f>
        <v>0611862210050</v>
      </c>
      <c r="B1450" s="10" t="str">
        <f>"CR2960"</f>
        <v>CR2960</v>
      </c>
      <c r="C1450" s="10" t="s">
        <v>1429</v>
      </c>
    </row>
    <row r="1451" spans="1:3" s="10" customFormat="1" x14ac:dyDescent="0.25">
      <c r="A1451" s="10" t="str">
        <f>"0611862211050"</f>
        <v>0611862211050</v>
      </c>
      <c r="B1451" s="10" t="str">
        <f>"CR3380"</f>
        <v>CR3380</v>
      </c>
      <c r="C1451" s="10" t="s">
        <v>1430</v>
      </c>
    </row>
    <row r="1452" spans="1:3" s="10" customFormat="1" x14ac:dyDescent="0.25">
      <c r="A1452" s="10" t="str">
        <f>"0611862212050"</f>
        <v>0611862212050</v>
      </c>
      <c r="B1452" s="10" t="str">
        <f>"CR3378"</f>
        <v>CR3378</v>
      </c>
      <c r="C1452" s="10" t="s">
        <v>1431</v>
      </c>
    </row>
    <row r="1453" spans="1:3" s="10" customFormat="1" x14ac:dyDescent="0.25">
      <c r="A1453" s="10" t="str">
        <f>"0611862213050"</f>
        <v>0611862213050</v>
      </c>
      <c r="B1453" s="10" t="str">
        <f>"CR4026"</f>
        <v>CR4026</v>
      </c>
      <c r="C1453" s="10" t="s">
        <v>1432</v>
      </c>
    </row>
    <row r="1454" spans="1:3" s="10" customFormat="1" x14ac:dyDescent="0.25">
      <c r="A1454" s="10" t="str">
        <f>"0611862214050"</f>
        <v>0611862214050</v>
      </c>
      <c r="B1454" s="10" t="str">
        <f>"CR4028"</f>
        <v>CR4028</v>
      </c>
      <c r="C1454" s="10" t="s">
        <v>1433</v>
      </c>
    </row>
    <row r="1455" spans="1:3" s="10" customFormat="1" x14ac:dyDescent="0.25">
      <c r="A1455" s="10" t="str">
        <f>"0611862215050"</f>
        <v>0611862215050</v>
      </c>
      <c r="B1455" s="10" t="str">
        <f>"CR3299"</f>
        <v>CR3299</v>
      </c>
      <c r="C1455" s="10" t="s">
        <v>1434</v>
      </c>
    </row>
    <row r="1456" spans="1:3" s="10" customFormat="1" x14ac:dyDescent="0.25">
      <c r="A1456" s="10" t="str">
        <f>"0611862216050"</f>
        <v>0611862216050</v>
      </c>
      <c r="B1456" s="10" t="str">
        <f>"CR2237"</f>
        <v>CR2237</v>
      </c>
      <c r="C1456" s="10" t="s">
        <v>1435</v>
      </c>
    </row>
    <row r="1457" spans="1:3" s="10" customFormat="1" x14ac:dyDescent="0.25">
      <c r="A1457" s="10" t="str">
        <f>"0611862217050"</f>
        <v>0611862217050</v>
      </c>
      <c r="B1457" s="10" t="str">
        <f>"CR2235"</f>
        <v>CR2235</v>
      </c>
      <c r="C1457" s="10" t="s">
        <v>1436</v>
      </c>
    </row>
    <row r="1458" spans="1:3" s="10" customFormat="1" x14ac:dyDescent="0.25">
      <c r="A1458" s="10" t="str">
        <f>"0611862218050"</f>
        <v>0611862218050</v>
      </c>
      <c r="B1458" s="10" t="str">
        <f>"CR2236"</f>
        <v>CR2236</v>
      </c>
      <c r="C1458" s="10" t="s">
        <v>1437</v>
      </c>
    </row>
    <row r="1459" spans="1:3" s="10" customFormat="1" x14ac:dyDescent="0.25">
      <c r="A1459" s="10" t="str">
        <f>"0611862226050"</f>
        <v>0611862226050</v>
      </c>
      <c r="B1459" s="10" t="str">
        <f>"CR4989"</f>
        <v>CR4989</v>
      </c>
      <c r="C1459" s="10" t="s">
        <v>1438</v>
      </c>
    </row>
    <row r="1460" spans="1:3" s="10" customFormat="1" x14ac:dyDescent="0.25">
      <c r="A1460" s="10" t="str">
        <f>"0611862244050"</f>
        <v>0611862244050</v>
      </c>
      <c r="B1460" s="10" t="str">
        <f>"CR2242"</f>
        <v>CR2242</v>
      </c>
      <c r="C1460" s="10" t="s">
        <v>1439</v>
      </c>
    </row>
    <row r="1461" spans="1:3" s="10" customFormat="1" x14ac:dyDescent="0.25">
      <c r="A1461" s="10" t="str">
        <f>"0611862245050"</f>
        <v>0611862245050</v>
      </c>
      <c r="B1461" s="10" t="str">
        <f>"CR2826"</f>
        <v>CR2826</v>
      </c>
      <c r="C1461" s="10" t="s">
        <v>1440</v>
      </c>
    </row>
    <row r="1462" spans="1:3" s="10" customFormat="1" x14ac:dyDescent="0.25">
      <c r="A1462" s="10" t="str">
        <f>"0611862246050"</f>
        <v>0611862246050</v>
      </c>
      <c r="B1462" s="10" t="str">
        <f>"CR2827"</f>
        <v>CR2827</v>
      </c>
      <c r="C1462" s="10" t="s">
        <v>1441</v>
      </c>
    </row>
    <row r="1463" spans="1:3" s="10" customFormat="1" x14ac:dyDescent="0.25">
      <c r="A1463" s="10" t="str">
        <f>"0611862247050"</f>
        <v>0611862247050</v>
      </c>
      <c r="B1463" s="10" t="str">
        <f>"CR2828"</f>
        <v>CR2828</v>
      </c>
      <c r="C1463" s="10" t="s">
        <v>1442</v>
      </c>
    </row>
    <row r="1464" spans="1:3" s="10" customFormat="1" x14ac:dyDescent="0.25">
      <c r="A1464" s="10" t="str">
        <f>"0611862248050"</f>
        <v>0611862248050</v>
      </c>
      <c r="B1464" s="10" t="str">
        <f>"CR2830"</f>
        <v>CR2830</v>
      </c>
      <c r="C1464" s="10" t="s">
        <v>1443</v>
      </c>
    </row>
    <row r="1465" spans="1:3" s="10" customFormat="1" x14ac:dyDescent="0.25">
      <c r="A1465" s="10" t="str">
        <f>"0611862249050"</f>
        <v>0611862249050</v>
      </c>
      <c r="B1465" s="10" t="str">
        <f>"CR2831"</f>
        <v>CR2831</v>
      </c>
      <c r="C1465" s="10" t="s">
        <v>1444</v>
      </c>
    </row>
    <row r="1466" spans="1:3" s="10" customFormat="1" x14ac:dyDescent="0.25">
      <c r="A1466" s="10" t="str">
        <f>"0611862250050"</f>
        <v>0611862250050</v>
      </c>
      <c r="B1466" s="10" t="str">
        <f>"CR2833"</f>
        <v>CR2833</v>
      </c>
      <c r="C1466" s="10" t="s">
        <v>1445</v>
      </c>
    </row>
    <row r="1467" spans="1:3" s="10" customFormat="1" x14ac:dyDescent="0.25">
      <c r="A1467" s="10" t="str">
        <f>"0611862253050"</f>
        <v>0611862253050</v>
      </c>
      <c r="B1467" s="10" t="str">
        <f>"CR2836"</f>
        <v>CR2836</v>
      </c>
      <c r="C1467" s="10" t="s">
        <v>1448</v>
      </c>
    </row>
    <row r="1468" spans="1:3" s="10" customFormat="1" x14ac:dyDescent="0.25">
      <c r="A1468" s="10" t="str">
        <f>"0611862251050"</f>
        <v>0611862251050</v>
      </c>
      <c r="B1468" s="10" t="str">
        <f>"CR2834"</f>
        <v>CR2834</v>
      </c>
      <c r="C1468" s="10" t="s">
        <v>1446</v>
      </c>
    </row>
    <row r="1469" spans="1:3" s="10" customFormat="1" x14ac:dyDescent="0.25">
      <c r="A1469" s="10" t="str">
        <f>"0611862252050"</f>
        <v>0611862252050</v>
      </c>
      <c r="B1469" s="10" t="str">
        <f>"CR2835"</f>
        <v>CR2835</v>
      </c>
      <c r="C1469" s="10" t="s">
        <v>1447</v>
      </c>
    </row>
    <row r="1470" spans="1:3" s="10" customFormat="1" x14ac:dyDescent="0.25">
      <c r="A1470" s="10" t="str">
        <f>"0611862254050"</f>
        <v>0611862254050</v>
      </c>
      <c r="B1470" s="10" t="str">
        <f>"CR2838"</f>
        <v>CR2838</v>
      </c>
      <c r="C1470" s="10" t="s">
        <v>1449</v>
      </c>
    </row>
    <row r="1471" spans="1:3" s="10" customFormat="1" x14ac:dyDescent="0.25">
      <c r="A1471" s="10" t="str">
        <f>"0611862255050"</f>
        <v>0611862255050</v>
      </c>
      <c r="B1471" s="10" t="str">
        <f>"CR2839"</f>
        <v>CR2839</v>
      </c>
      <c r="C1471" s="10" t="s">
        <v>1450</v>
      </c>
    </row>
    <row r="1472" spans="1:3" s="10" customFormat="1" x14ac:dyDescent="0.25">
      <c r="A1472" s="10" t="str">
        <f>"0611862256050"</f>
        <v>0611862256050</v>
      </c>
      <c r="B1472" s="10" t="str">
        <f>"CR2840"</f>
        <v>CR2840</v>
      </c>
      <c r="C1472" s="10" t="s">
        <v>1451</v>
      </c>
    </row>
    <row r="1473" spans="1:3" s="10" customFormat="1" x14ac:dyDescent="0.25">
      <c r="A1473" s="10" t="str">
        <f>"0611862257050"</f>
        <v>0611862257050</v>
      </c>
      <c r="B1473" s="10" t="str">
        <f>"CR2841"</f>
        <v>CR2841</v>
      </c>
      <c r="C1473" s="10" t="s">
        <v>1452</v>
      </c>
    </row>
    <row r="1474" spans="1:3" s="10" customFormat="1" x14ac:dyDescent="0.25">
      <c r="A1474" s="10" t="str">
        <f>"0611862258050"</f>
        <v>0611862258050</v>
      </c>
      <c r="B1474" s="10" t="str">
        <f>"CR2842"</f>
        <v>CR2842</v>
      </c>
      <c r="C1474" s="10" t="s">
        <v>1453</v>
      </c>
    </row>
    <row r="1475" spans="1:3" s="10" customFormat="1" x14ac:dyDescent="0.25">
      <c r="A1475" t="str">
        <f>"0611862264050"</f>
        <v>0611862264050</v>
      </c>
      <c r="B1475" t="str">
        <f>"CR2843"</f>
        <v>CR2843</v>
      </c>
      <c r="C1475" t="s">
        <v>1454</v>
      </c>
    </row>
    <row r="1476" spans="1:3" s="10" customFormat="1" x14ac:dyDescent="0.25">
      <c r="A1476" t="str">
        <f>"0611862265050"</f>
        <v>0611862265050</v>
      </c>
      <c r="B1476" t="str">
        <f>"CR2254"</f>
        <v>CR2254</v>
      </c>
      <c r="C1476" t="s">
        <v>1455</v>
      </c>
    </row>
    <row r="1477" spans="1:3" s="10" customFormat="1" x14ac:dyDescent="0.25">
      <c r="A1477" s="10" t="str">
        <f>"0611862266050"</f>
        <v>0611862266050</v>
      </c>
      <c r="B1477" s="10" t="str">
        <f>"CR2844"</f>
        <v>CR2844</v>
      </c>
      <c r="C1477" s="10" t="s">
        <v>1456</v>
      </c>
    </row>
    <row r="1478" spans="1:3" s="10" customFormat="1" x14ac:dyDescent="0.25">
      <c r="A1478" s="10" t="str">
        <f>"0611862267050"</f>
        <v>0611862267050</v>
      </c>
      <c r="B1478" s="10" t="str">
        <f>"CR2255"</f>
        <v>CR2255</v>
      </c>
      <c r="C1478" s="10" t="s">
        <v>1457</v>
      </c>
    </row>
    <row r="1479" spans="1:3" s="10" customFormat="1" x14ac:dyDescent="0.25">
      <c r="A1479" s="10" t="str">
        <f>"0611862268050"</f>
        <v>0611862268050</v>
      </c>
      <c r="B1479" s="10" t="str">
        <f>"CR2845"</f>
        <v>CR2845</v>
      </c>
      <c r="C1479" s="10" t="s">
        <v>1458</v>
      </c>
    </row>
    <row r="1480" spans="1:3" s="10" customFormat="1" x14ac:dyDescent="0.25">
      <c r="A1480" s="10" t="str">
        <f>"0611862269050"</f>
        <v>0611862269050</v>
      </c>
      <c r="B1480" s="10" t="str">
        <f>"CR2256"</f>
        <v>CR2256</v>
      </c>
      <c r="C1480" s="10" t="s">
        <v>1459</v>
      </c>
    </row>
    <row r="1481" spans="1:3" s="10" customFormat="1" x14ac:dyDescent="0.25">
      <c r="A1481" s="10" t="str">
        <f>"0611906570050"</f>
        <v>0611906570050</v>
      </c>
      <c r="B1481" s="10" t="str">
        <f>"CR5524"</f>
        <v>CR5524</v>
      </c>
      <c r="C1481" s="10" t="s">
        <v>1460</v>
      </c>
    </row>
    <row r="1482" spans="1:3" s="10" customFormat="1" x14ac:dyDescent="0.25">
      <c r="A1482" s="10" t="str">
        <f>"0611906571050"</f>
        <v>0611906571050</v>
      </c>
      <c r="B1482" s="10" t="str">
        <f>"CR5525"</f>
        <v>CR5525</v>
      </c>
      <c r="C1482" s="10" t="s">
        <v>1461</v>
      </c>
    </row>
    <row r="1483" spans="1:3" s="10" customFormat="1" x14ac:dyDescent="0.25">
      <c r="A1483" s="10" t="str">
        <f>"0611884231050"</f>
        <v>0611884231050</v>
      </c>
      <c r="B1483" s="10" t="str">
        <f>"CR5421"</f>
        <v>CR5421</v>
      </c>
      <c r="C1483" s="10" t="s">
        <v>1465</v>
      </c>
    </row>
    <row r="1484" spans="1:3" s="10" customFormat="1" x14ac:dyDescent="0.25">
      <c r="A1484" s="10" t="str">
        <f>"0611884232050"</f>
        <v>0611884232050</v>
      </c>
      <c r="B1484" s="10" t="str">
        <f>"CR5422"</f>
        <v>CR5422</v>
      </c>
      <c r="C1484" s="10" t="s">
        <v>1468</v>
      </c>
    </row>
    <row r="1485" spans="1:3" s="10" customFormat="1" x14ac:dyDescent="0.25">
      <c r="A1485" s="10" t="str">
        <f>"0611862270050"</f>
        <v>0611862270050</v>
      </c>
      <c r="B1485" s="10" t="str">
        <f>"CR2243"</f>
        <v>CR2243</v>
      </c>
      <c r="C1485" s="10" t="s">
        <v>1462</v>
      </c>
    </row>
    <row r="1486" spans="1:3" s="10" customFormat="1" x14ac:dyDescent="0.25">
      <c r="A1486" s="10" t="str">
        <f>"0611862271050"</f>
        <v>0611862271050</v>
      </c>
      <c r="B1486" s="10" t="str">
        <f>"CR2244"</f>
        <v>CR2244</v>
      </c>
      <c r="C1486" s="10" t="s">
        <v>1463</v>
      </c>
    </row>
    <row r="1487" spans="1:3" s="10" customFormat="1" x14ac:dyDescent="0.25">
      <c r="A1487" s="10" t="str">
        <f>"0611862272050"</f>
        <v>0611862272050</v>
      </c>
      <c r="B1487" s="10" t="str">
        <f>"CR4981"</f>
        <v>CR4981</v>
      </c>
      <c r="C1487" s="10" t="s">
        <v>1464</v>
      </c>
    </row>
    <row r="1488" spans="1:3" s="10" customFormat="1" x14ac:dyDescent="0.25">
      <c r="A1488" s="10" t="str">
        <f>"0611862274050"</f>
        <v>0611862274050</v>
      </c>
      <c r="B1488" s="10" t="str">
        <f>"CR3084"</f>
        <v>CR3084</v>
      </c>
      <c r="C1488" s="10" t="s">
        <v>1466</v>
      </c>
    </row>
    <row r="1489" spans="1:3" s="10" customFormat="1" x14ac:dyDescent="0.25">
      <c r="A1489" s="10" t="str">
        <f>"0611862275050"</f>
        <v>0611862275050</v>
      </c>
      <c r="B1489" s="10" t="str">
        <f>"CR2247"</f>
        <v>CR2247</v>
      </c>
      <c r="C1489" s="10" t="s">
        <v>1467</v>
      </c>
    </row>
    <row r="1490" spans="1:3" s="10" customFormat="1" x14ac:dyDescent="0.25">
      <c r="A1490" s="10" t="str">
        <f>"0611862276050"</f>
        <v>0611862276050</v>
      </c>
      <c r="B1490" s="10" t="str">
        <f>"CR4982"</f>
        <v>CR4982</v>
      </c>
      <c r="C1490" s="10" t="s">
        <v>1469</v>
      </c>
    </row>
    <row r="1491" spans="1:3" s="10" customFormat="1" x14ac:dyDescent="0.25">
      <c r="A1491" s="10" t="str">
        <f>"0611862277050"</f>
        <v>0611862277050</v>
      </c>
      <c r="B1491" s="10" t="str">
        <f>"CR4983"</f>
        <v>CR4983</v>
      </c>
      <c r="C1491" s="10" t="s">
        <v>1470</v>
      </c>
    </row>
    <row r="1492" spans="1:3" s="10" customFormat="1" x14ac:dyDescent="0.25">
      <c r="A1492" s="10" t="str">
        <f>"0611862278050"</f>
        <v>0611862278050</v>
      </c>
      <c r="B1492" s="10" t="str">
        <f>"CR2249"</f>
        <v>CR2249</v>
      </c>
      <c r="C1492" s="10" t="s">
        <v>1471</v>
      </c>
    </row>
    <row r="1493" spans="1:3" s="10" customFormat="1" x14ac:dyDescent="0.25">
      <c r="A1493" s="10" t="str">
        <f>"0611862280050"</f>
        <v>0611862280050</v>
      </c>
      <c r="B1493" s="10" t="str">
        <f>"CR2250"</f>
        <v>CR2250</v>
      </c>
      <c r="C1493" s="10" t="s">
        <v>1473</v>
      </c>
    </row>
    <row r="1494" spans="1:3" s="10" customFormat="1" x14ac:dyDescent="0.25">
      <c r="A1494" s="10" t="str">
        <f>"0611862279050"</f>
        <v>0611862279050</v>
      </c>
      <c r="B1494" s="10" t="str">
        <f>"CR4984"</f>
        <v>CR4984</v>
      </c>
      <c r="C1494" s="10" t="s">
        <v>1472</v>
      </c>
    </row>
    <row r="1495" spans="1:3" s="10" customFormat="1" x14ac:dyDescent="0.25">
      <c r="A1495" s="10" t="str">
        <f>"0611906572050"</f>
        <v>0611906572050</v>
      </c>
      <c r="B1495" s="10" t="str">
        <f>"CR5500"</f>
        <v>CR5500</v>
      </c>
      <c r="C1495" s="10" t="s">
        <v>1474</v>
      </c>
    </row>
    <row r="1496" spans="1:3" s="10" customFormat="1" x14ac:dyDescent="0.25">
      <c r="A1496" s="10" t="str">
        <f>"0611862281050"</f>
        <v>0611862281050</v>
      </c>
      <c r="B1496" s="10" t="str">
        <f>"CR3957"</f>
        <v>CR3957</v>
      </c>
      <c r="C1496" s="10" t="s">
        <v>1475</v>
      </c>
    </row>
    <row r="1497" spans="1:3" s="10" customFormat="1" x14ac:dyDescent="0.25">
      <c r="A1497" s="10" t="str">
        <f>"0611862282050"</f>
        <v>0611862282050</v>
      </c>
      <c r="B1497" s="10" t="str">
        <f>"CR3902"</f>
        <v>CR3902</v>
      </c>
      <c r="C1497" s="10" t="s">
        <v>1476</v>
      </c>
    </row>
    <row r="1498" spans="1:3" s="10" customFormat="1" x14ac:dyDescent="0.25">
      <c r="A1498" s="10" t="str">
        <f>"0611862283050"</f>
        <v>0611862283050</v>
      </c>
      <c r="B1498" s="10" t="str">
        <f>"CR2252"</f>
        <v>CR2252</v>
      </c>
      <c r="C1498" s="10" t="s">
        <v>1477</v>
      </c>
    </row>
    <row r="1499" spans="1:3" s="10" customFormat="1" x14ac:dyDescent="0.25">
      <c r="A1499" s="10" t="str">
        <f>"0611862297050"</f>
        <v>0611862297050</v>
      </c>
      <c r="B1499" s="10" t="str">
        <f>"CR2266"</f>
        <v>CR2266</v>
      </c>
      <c r="C1499" s="10" t="s">
        <v>1478</v>
      </c>
    </row>
    <row r="1500" spans="1:3" s="10" customFormat="1" x14ac:dyDescent="0.25">
      <c r="A1500" s="10" t="str">
        <f>"0611862298050"</f>
        <v>0611862298050</v>
      </c>
      <c r="B1500" s="10" t="str">
        <f>"CR2267"</f>
        <v>CR2267</v>
      </c>
      <c r="C1500" s="10" t="s">
        <v>1479</v>
      </c>
    </row>
    <row r="1501" spans="1:3" s="10" customFormat="1" x14ac:dyDescent="0.25">
      <c r="A1501" s="10" t="str">
        <f>"0611862299050"</f>
        <v>0611862299050</v>
      </c>
      <c r="B1501" s="10" t="str">
        <f>"CR2270"</f>
        <v>CR2270</v>
      </c>
      <c r="C1501" s="10" t="s">
        <v>1480</v>
      </c>
    </row>
    <row r="1502" spans="1:3" s="10" customFormat="1" x14ac:dyDescent="0.25">
      <c r="A1502" s="10" t="str">
        <f>"0611862300050"</f>
        <v>0611862300050</v>
      </c>
      <c r="B1502" s="10" t="str">
        <f>"CR2271"</f>
        <v>CR2271</v>
      </c>
      <c r="C1502" s="10" t="s">
        <v>1481</v>
      </c>
    </row>
    <row r="1503" spans="1:3" s="10" customFormat="1" x14ac:dyDescent="0.25">
      <c r="A1503" s="10" t="str">
        <f>"0611862301050"</f>
        <v>0611862301050</v>
      </c>
      <c r="B1503" s="10" t="str">
        <f>"CR2272"</f>
        <v>CR2272</v>
      </c>
      <c r="C1503" s="10" t="s">
        <v>1482</v>
      </c>
    </row>
    <row r="1504" spans="1:3" s="10" customFormat="1" x14ac:dyDescent="0.25">
      <c r="A1504" s="10" t="str">
        <f>"0611862302050"</f>
        <v>0611862302050</v>
      </c>
      <c r="B1504" s="10" t="str">
        <f>"CR2273"</f>
        <v>CR2273</v>
      </c>
      <c r="C1504" s="10" t="s">
        <v>1483</v>
      </c>
    </row>
    <row r="1505" spans="1:3" s="10" customFormat="1" x14ac:dyDescent="0.25">
      <c r="A1505" s="10" t="str">
        <f>"0611862303050"</f>
        <v>0611862303050</v>
      </c>
      <c r="B1505" s="10" t="str">
        <f>"CR2274"</f>
        <v>CR2274</v>
      </c>
      <c r="C1505" s="10" t="s">
        <v>1484</v>
      </c>
    </row>
    <row r="1506" spans="1:3" s="10" customFormat="1" x14ac:dyDescent="0.25">
      <c r="A1506" s="10" t="str">
        <f>"0611862305050"</f>
        <v>0611862305050</v>
      </c>
      <c r="B1506" s="10" t="str">
        <f>"CR2275"</f>
        <v>CR2275</v>
      </c>
      <c r="C1506" s="10" t="s">
        <v>1486</v>
      </c>
    </row>
    <row r="1507" spans="1:3" s="10" customFormat="1" x14ac:dyDescent="0.25">
      <c r="A1507" s="10" t="str">
        <f>"0611862304050"</f>
        <v>0611862304050</v>
      </c>
      <c r="B1507" s="10" t="str">
        <f>"CR4985"</f>
        <v>CR4985</v>
      </c>
      <c r="C1507" s="10" t="s">
        <v>1485</v>
      </c>
    </row>
    <row r="1508" spans="1:3" s="10" customFormat="1" x14ac:dyDescent="0.25">
      <c r="A1508" s="10" t="str">
        <f>"0611862306050"</f>
        <v>0611862306050</v>
      </c>
      <c r="B1508" s="10" t="str">
        <f>"CR2269"</f>
        <v>CR2269</v>
      </c>
      <c r="C1508" s="10" t="s">
        <v>1487</v>
      </c>
    </row>
    <row r="1509" spans="1:3" s="10" customFormat="1" x14ac:dyDescent="0.25">
      <c r="A1509" s="10" t="str">
        <f>"0611862307050"</f>
        <v>0611862307050</v>
      </c>
      <c r="B1509" s="10" t="str">
        <f>"CR4986"</f>
        <v>CR4986</v>
      </c>
      <c r="C1509" s="10" t="s">
        <v>1488</v>
      </c>
    </row>
    <row r="1510" spans="1:3" s="10" customFormat="1" x14ac:dyDescent="0.25">
      <c r="A1510" s="10" t="str">
        <f>"0611862308050"</f>
        <v>0611862308050</v>
      </c>
      <c r="B1510" s="10" t="str">
        <f>"CR2277"</f>
        <v>CR2277</v>
      </c>
      <c r="C1510" s="10" t="s">
        <v>1489</v>
      </c>
    </row>
    <row r="1511" spans="1:3" s="10" customFormat="1" x14ac:dyDescent="0.25">
      <c r="A1511" s="10" t="str">
        <f>"0611862312050"</f>
        <v>0611862312050</v>
      </c>
      <c r="B1511" s="10" t="str">
        <f>"CR2263"</f>
        <v>CR2263</v>
      </c>
      <c r="C1511" s="10" t="s">
        <v>1490</v>
      </c>
    </row>
    <row r="1512" spans="1:3" s="10" customFormat="1" x14ac:dyDescent="0.25">
      <c r="A1512" s="10" t="str">
        <f>"0611862313050"</f>
        <v>0611862313050</v>
      </c>
      <c r="B1512" s="10" t="str">
        <f>"CR2264"</f>
        <v>CR2264</v>
      </c>
      <c r="C1512" s="10" t="s">
        <v>1491</v>
      </c>
    </row>
    <row r="1513" spans="1:3" s="10" customFormat="1" x14ac:dyDescent="0.25">
      <c r="A1513" s="10" t="str">
        <f>"0611862314050"</f>
        <v>0611862314050</v>
      </c>
      <c r="B1513" s="10" t="str">
        <f>"CR2265"</f>
        <v>CR2265</v>
      </c>
      <c r="C1513" s="10" t="s">
        <v>1492</v>
      </c>
    </row>
    <row r="1514" spans="1:3" s="10" customFormat="1" x14ac:dyDescent="0.25">
      <c r="A1514" s="10" t="str">
        <f>"0611862333050"</f>
        <v>0611862333050</v>
      </c>
      <c r="B1514" s="10" t="str">
        <f>"CR2221"</f>
        <v>CR2221</v>
      </c>
      <c r="C1514" s="10" t="s">
        <v>1493</v>
      </c>
    </row>
    <row r="1515" spans="1:3" s="10" customFormat="1" x14ac:dyDescent="0.25">
      <c r="A1515" s="10" t="str">
        <f>"0611862337050"</f>
        <v>0611862337050</v>
      </c>
      <c r="B1515" s="10" t="str">
        <f>"CR3536"</f>
        <v>CR3536</v>
      </c>
      <c r="C1515" s="10" t="s">
        <v>1497</v>
      </c>
    </row>
    <row r="1516" spans="1:3" s="10" customFormat="1" x14ac:dyDescent="0.25">
      <c r="A1516" s="10" t="str">
        <f>"0611862334050"</f>
        <v>0611862334050</v>
      </c>
      <c r="B1516" s="10" t="str">
        <f>"CR2278"</f>
        <v>CR2278</v>
      </c>
      <c r="C1516" s="10" t="s">
        <v>1494</v>
      </c>
    </row>
    <row r="1517" spans="1:3" s="10" customFormat="1" x14ac:dyDescent="0.25">
      <c r="A1517" s="10" t="str">
        <f>"0611862335050"</f>
        <v>0611862335050</v>
      </c>
      <c r="B1517" s="10" t="str">
        <f>"CR2279"</f>
        <v>CR2279</v>
      </c>
      <c r="C1517" s="10" t="s">
        <v>1495</v>
      </c>
    </row>
    <row r="1518" spans="1:3" s="10" customFormat="1" x14ac:dyDescent="0.25">
      <c r="A1518" s="10" t="str">
        <f>"0611862336050"</f>
        <v>0611862336050</v>
      </c>
      <c r="B1518" s="10" t="str">
        <f>"CR2280"</f>
        <v>CR2280</v>
      </c>
      <c r="C1518" s="10" t="s">
        <v>1496</v>
      </c>
    </row>
    <row r="1519" spans="1:3" s="10" customFormat="1" x14ac:dyDescent="0.25">
      <c r="A1519" s="10" t="str">
        <f>"0611862338050"</f>
        <v>0611862338050</v>
      </c>
      <c r="B1519" s="10" t="str">
        <f>"CR2281"</f>
        <v>CR2281</v>
      </c>
      <c r="C1519" s="10" t="s">
        <v>1498</v>
      </c>
    </row>
    <row r="1520" spans="1:3" s="10" customFormat="1" x14ac:dyDescent="0.25">
      <c r="A1520" s="10" t="str">
        <f>"0611862339050"</f>
        <v>0611862339050</v>
      </c>
      <c r="B1520" s="10" t="str">
        <f>"CR2283"</f>
        <v>CR2283</v>
      </c>
      <c r="C1520" s="10" t="s">
        <v>1499</v>
      </c>
    </row>
    <row r="1521" spans="1:3" s="10" customFormat="1" x14ac:dyDescent="0.25">
      <c r="A1521" s="10" t="str">
        <f>"0611862340050"</f>
        <v>0611862340050</v>
      </c>
      <c r="B1521" s="10" t="str">
        <f>"CR2284"</f>
        <v>CR2284</v>
      </c>
      <c r="C1521" s="10" t="s">
        <v>1500</v>
      </c>
    </row>
    <row r="1522" spans="1:3" s="10" customFormat="1" x14ac:dyDescent="0.25">
      <c r="A1522" s="10" t="str">
        <f>"0611862341050"</f>
        <v>0611862341050</v>
      </c>
      <c r="B1522" s="10" t="str">
        <f>"CR2285"</f>
        <v>CR2285</v>
      </c>
      <c r="C1522" s="10" t="s">
        <v>1501</v>
      </c>
    </row>
    <row r="1523" spans="1:3" s="10" customFormat="1" x14ac:dyDescent="0.25">
      <c r="A1523" s="10" t="str">
        <f>"0611862342050"</f>
        <v>0611862342050</v>
      </c>
      <c r="B1523" s="10" t="str">
        <f>"CR2287"</f>
        <v>CR2287</v>
      </c>
      <c r="C1523" s="10" t="s">
        <v>1502</v>
      </c>
    </row>
    <row r="1524" spans="1:3" s="10" customFormat="1" x14ac:dyDescent="0.25">
      <c r="A1524" s="10" t="str">
        <f>"0611862343050"</f>
        <v>0611862343050</v>
      </c>
      <c r="B1524" s="10" t="str">
        <f>"CR4843"</f>
        <v>CR4843</v>
      </c>
      <c r="C1524" s="10" t="s">
        <v>1503</v>
      </c>
    </row>
    <row r="1525" spans="1:3" s="10" customFormat="1" x14ac:dyDescent="0.25">
      <c r="A1525" s="10" t="str">
        <f>"0611862344050"</f>
        <v>0611862344050</v>
      </c>
      <c r="B1525" s="10" t="str">
        <f>"CR2288"</f>
        <v>CR2288</v>
      </c>
      <c r="C1525" s="10" t="s">
        <v>1504</v>
      </c>
    </row>
    <row r="1526" spans="1:3" s="10" customFormat="1" x14ac:dyDescent="0.25">
      <c r="A1526" s="10" t="str">
        <f>"0611862345050"</f>
        <v>0611862345050</v>
      </c>
      <c r="B1526" s="10" t="str">
        <f>"CR2290"</f>
        <v>CR2290</v>
      </c>
      <c r="C1526" s="10" t="s">
        <v>1505</v>
      </c>
    </row>
    <row r="1527" spans="1:3" s="10" customFormat="1" x14ac:dyDescent="0.25">
      <c r="A1527" s="10" t="str">
        <f>"0611862346050"</f>
        <v>0611862346050</v>
      </c>
      <c r="B1527" s="10" t="str">
        <f>"CR2291"</f>
        <v>CR2291</v>
      </c>
      <c r="C1527" s="10" t="s">
        <v>1506</v>
      </c>
    </row>
    <row r="1528" spans="1:3" s="10" customFormat="1" x14ac:dyDescent="0.25">
      <c r="A1528" s="10" t="str">
        <f>"0611862347050"</f>
        <v>0611862347050</v>
      </c>
      <c r="B1528" s="10" t="str">
        <f>"CR2293"</f>
        <v>CR2293</v>
      </c>
      <c r="C1528" s="10" t="s">
        <v>1507</v>
      </c>
    </row>
    <row r="1529" spans="1:3" s="10" customFormat="1" x14ac:dyDescent="0.25">
      <c r="A1529" s="10" t="str">
        <f>"0611862348050"</f>
        <v>0611862348050</v>
      </c>
      <c r="B1529" s="10" t="str">
        <f>"CR2294"</f>
        <v>CR2294</v>
      </c>
      <c r="C1529" s="10" t="s">
        <v>1508</v>
      </c>
    </row>
    <row r="1530" spans="1:3" s="10" customFormat="1" x14ac:dyDescent="0.25">
      <c r="A1530" s="10" t="str">
        <f>"0611862349050"</f>
        <v>0611862349050</v>
      </c>
      <c r="B1530" s="10" t="str">
        <f>"CR2295"</f>
        <v>CR2295</v>
      </c>
      <c r="C1530" s="10" t="s">
        <v>1509</v>
      </c>
    </row>
    <row r="1531" spans="1:3" s="10" customFormat="1" x14ac:dyDescent="0.25">
      <c r="A1531" s="10" t="str">
        <f>"0611862350050"</f>
        <v>0611862350050</v>
      </c>
      <c r="B1531" s="10" t="str">
        <f>"CR2296"</f>
        <v>CR2296</v>
      </c>
      <c r="C1531" s="10" t="s">
        <v>1510</v>
      </c>
    </row>
    <row r="1532" spans="1:3" s="10" customFormat="1" x14ac:dyDescent="0.25">
      <c r="A1532" s="10" t="str">
        <f>"0611862351050"</f>
        <v>0611862351050</v>
      </c>
      <c r="B1532" s="10" t="str">
        <f>"CR2298"</f>
        <v>CR2298</v>
      </c>
      <c r="C1532" s="10" t="s">
        <v>1511</v>
      </c>
    </row>
    <row r="1533" spans="1:3" s="10" customFormat="1" x14ac:dyDescent="0.25">
      <c r="A1533" s="10" t="str">
        <f>"0611862366050"</f>
        <v>0611862366050</v>
      </c>
      <c r="B1533" s="10" t="str">
        <f>"CR5187"</f>
        <v>CR5187</v>
      </c>
      <c r="C1533" s="10" t="s">
        <v>1512</v>
      </c>
    </row>
    <row r="1534" spans="1:3" s="10" customFormat="1" x14ac:dyDescent="0.25">
      <c r="A1534" s="10" t="str">
        <f>"0611862367050"</f>
        <v>0611862367050</v>
      </c>
      <c r="B1534" s="10" t="str">
        <f>"CR5188"</f>
        <v>CR5188</v>
      </c>
      <c r="C1534" s="10" t="s">
        <v>1513</v>
      </c>
    </row>
    <row r="1535" spans="1:3" s="10" customFormat="1" x14ac:dyDescent="0.25">
      <c r="A1535" s="10" t="str">
        <f>"0611862368050"</f>
        <v>0611862368050</v>
      </c>
      <c r="B1535" s="10" t="str">
        <f>"CR5071"</f>
        <v>CR5071</v>
      </c>
      <c r="C1535" s="10" t="s">
        <v>1514</v>
      </c>
    </row>
    <row r="1536" spans="1:3" s="10" customFormat="1" x14ac:dyDescent="0.25">
      <c r="A1536" s="10" t="str">
        <f>"0611862369050"</f>
        <v>0611862369050</v>
      </c>
      <c r="B1536" s="10" t="str">
        <f>"CR5189"</f>
        <v>CR5189</v>
      </c>
      <c r="C1536" s="10" t="s">
        <v>1515</v>
      </c>
    </row>
    <row r="1537" spans="1:3" s="10" customFormat="1" x14ac:dyDescent="0.25">
      <c r="A1537" s="10" t="str">
        <f>"0611862370050"</f>
        <v>0611862370050</v>
      </c>
      <c r="B1537" s="10" t="str">
        <f>"CR5072"</f>
        <v>CR5072</v>
      </c>
      <c r="C1537" s="10" t="s">
        <v>1516</v>
      </c>
    </row>
    <row r="1538" spans="1:3" s="10" customFormat="1" x14ac:dyDescent="0.25">
      <c r="A1538" s="10" t="str">
        <f>"0611862371050"</f>
        <v>0611862371050</v>
      </c>
      <c r="B1538" s="10" t="str">
        <f>"CR5190"</f>
        <v>CR5190</v>
      </c>
      <c r="C1538" s="10" t="s">
        <v>1517</v>
      </c>
    </row>
    <row r="1539" spans="1:3" s="10" customFormat="1" x14ac:dyDescent="0.25">
      <c r="A1539" s="10" t="str">
        <f>"0611862372050"</f>
        <v>0611862372050</v>
      </c>
      <c r="B1539" s="10" t="str">
        <f>"CR5191"</f>
        <v>CR5191</v>
      </c>
      <c r="C1539" s="10" t="s">
        <v>1518</v>
      </c>
    </row>
    <row r="1540" spans="1:3" s="10" customFormat="1" x14ac:dyDescent="0.25">
      <c r="A1540" s="10" t="str">
        <f>"0611862373050"</f>
        <v>0611862373050</v>
      </c>
      <c r="B1540" s="10" t="str">
        <f>"CR2304"</f>
        <v>CR2304</v>
      </c>
      <c r="C1540" s="10" t="s">
        <v>1519</v>
      </c>
    </row>
    <row r="1541" spans="1:3" s="10" customFormat="1" x14ac:dyDescent="0.25">
      <c r="A1541" s="10" t="str">
        <f>"0611862374050"</f>
        <v>0611862374050</v>
      </c>
      <c r="B1541" s="10" t="str">
        <f>"CR2305"</f>
        <v>CR2305</v>
      </c>
      <c r="C1541" s="10" t="s">
        <v>1520</v>
      </c>
    </row>
    <row r="1542" spans="1:3" s="10" customFormat="1" x14ac:dyDescent="0.25">
      <c r="A1542" s="10" t="str">
        <f>"0611862375050"</f>
        <v>0611862375050</v>
      </c>
      <c r="B1542" s="10" t="str">
        <f>"CR2306"</f>
        <v>CR2306</v>
      </c>
      <c r="C1542" s="10" t="s">
        <v>1521</v>
      </c>
    </row>
    <row r="1543" spans="1:3" s="10" customFormat="1" x14ac:dyDescent="0.25">
      <c r="A1543" s="10" t="str">
        <f>"0611862376050"</f>
        <v>0611862376050</v>
      </c>
      <c r="B1543" s="10" t="str">
        <f>"CR2641"</f>
        <v>CR2641</v>
      </c>
      <c r="C1543" s="10" t="s">
        <v>1522</v>
      </c>
    </row>
    <row r="1544" spans="1:3" s="10" customFormat="1" x14ac:dyDescent="0.25">
      <c r="A1544" s="10" t="str">
        <f>"0611862377050"</f>
        <v>0611862377050</v>
      </c>
      <c r="B1544" s="10" t="str">
        <f>"CR2642"</f>
        <v>CR2642</v>
      </c>
      <c r="C1544" s="10" t="s">
        <v>1523</v>
      </c>
    </row>
    <row r="1545" spans="1:3" s="10" customFormat="1" x14ac:dyDescent="0.25">
      <c r="A1545" s="10" t="str">
        <f>"0611862378050"</f>
        <v>0611862378050</v>
      </c>
      <c r="B1545" s="10" t="str">
        <f>"CR2307"</f>
        <v>CR2307</v>
      </c>
      <c r="C1545" s="10" t="s">
        <v>1524</v>
      </c>
    </row>
    <row r="1546" spans="1:3" s="10" customFormat="1" x14ac:dyDescent="0.25">
      <c r="A1546" s="10" t="str">
        <f>"0611862379050"</f>
        <v>0611862379050</v>
      </c>
      <c r="B1546" s="10" t="str">
        <f>"CR5192"</f>
        <v>CR5192</v>
      </c>
      <c r="C1546" s="10" t="s">
        <v>1525</v>
      </c>
    </row>
    <row r="1547" spans="1:3" s="10" customFormat="1" x14ac:dyDescent="0.25">
      <c r="A1547" s="10" t="str">
        <f>"0611862380050"</f>
        <v>0611862380050</v>
      </c>
      <c r="B1547" s="10" t="str">
        <f>"CR2308"</f>
        <v>CR2308</v>
      </c>
      <c r="C1547" s="10" t="s">
        <v>1526</v>
      </c>
    </row>
    <row r="1548" spans="1:3" s="10" customFormat="1" x14ac:dyDescent="0.25">
      <c r="A1548" s="10" t="str">
        <f>"0611862381050"</f>
        <v>0611862381050</v>
      </c>
      <c r="B1548" s="10" t="str">
        <f>"CR4097"</f>
        <v>CR4097</v>
      </c>
      <c r="C1548" s="10" t="s">
        <v>1527</v>
      </c>
    </row>
    <row r="1549" spans="1:3" s="10" customFormat="1" x14ac:dyDescent="0.25">
      <c r="A1549" s="10" t="str">
        <f>"0611862382050"</f>
        <v>0611862382050</v>
      </c>
      <c r="B1549" s="10" t="str">
        <f>"CR2309"</f>
        <v>CR2309</v>
      </c>
      <c r="C1549" s="10" t="s">
        <v>1528</v>
      </c>
    </row>
    <row r="1550" spans="1:3" s="10" customFormat="1" x14ac:dyDescent="0.25">
      <c r="A1550" s="10" t="str">
        <f>"0611862383050"</f>
        <v>0611862383050</v>
      </c>
      <c r="B1550" s="10" t="str">
        <f>"CR2310"</f>
        <v>CR2310</v>
      </c>
      <c r="C1550" s="10" t="s">
        <v>1529</v>
      </c>
    </row>
    <row r="1551" spans="1:3" s="10" customFormat="1" x14ac:dyDescent="0.25">
      <c r="A1551" s="10" t="str">
        <f>"0611862384050"</f>
        <v>0611862384050</v>
      </c>
      <c r="B1551" s="10" t="str">
        <f>"CR2311"</f>
        <v>CR2311</v>
      </c>
      <c r="C1551" s="10" t="s">
        <v>1530</v>
      </c>
    </row>
    <row r="1552" spans="1:3" s="10" customFormat="1" x14ac:dyDescent="0.25">
      <c r="A1552" s="10" t="str">
        <f>"0611862385050"</f>
        <v>0611862385050</v>
      </c>
      <c r="B1552" s="10" t="str">
        <f>"CR2961"</f>
        <v>CR2961</v>
      </c>
      <c r="C1552" s="10" t="s">
        <v>1531</v>
      </c>
    </row>
    <row r="1553" spans="1:3" s="10" customFormat="1" x14ac:dyDescent="0.25">
      <c r="A1553" s="10" t="str">
        <f>"0611862386050"</f>
        <v>0611862386050</v>
      </c>
      <c r="B1553" s="10" t="str">
        <f>"CR2312"</f>
        <v>CR2312</v>
      </c>
      <c r="C1553" s="10" t="s">
        <v>1532</v>
      </c>
    </row>
    <row r="1554" spans="1:3" s="10" customFormat="1" x14ac:dyDescent="0.25">
      <c r="A1554" s="10" t="str">
        <f>"0611862387050"</f>
        <v>0611862387050</v>
      </c>
      <c r="B1554" s="10" t="str">
        <f>"CR2313"</f>
        <v>CR2313</v>
      </c>
      <c r="C1554" s="10" t="s">
        <v>1533</v>
      </c>
    </row>
    <row r="1555" spans="1:3" s="10" customFormat="1" x14ac:dyDescent="0.25">
      <c r="A1555" s="10" t="str">
        <f>"0611862388050"</f>
        <v>0611862388050</v>
      </c>
      <c r="B1555" s="10" t="str">
        <f>"CR3467"</f>
        <v>CR3467</v>
      </c>
      <c r="C1555" s="10" t="s">
        <v>1534</v>
      </c>
    </row>
    <row r="1556" spans="1:3" s="10" customFormat="1" x14ac:dyDescent="0.25">
      <c r="A1556" s="10" t="str">
        <f>"0611862389050"</f>
        <v>0611862389050</v>
      </c>
      <c r="B1556" s="10" t="str">
        <f>"CR2315"</f>
        <v>CR2315</v>
      </c>
      <c r="C1556" s="10" t="s">
        <v>1535</v>
      </c>
    </row>
    <row r="1557" spans="1:3" s="10" customFormat="1" x14ac:dyDescent="0.25">
      <c r="A1557" s="10" t="str">
        <f>"0611862390050"</f>
        <v>0611862390050</v>
      </c>
      <c r="B1557" s="10" t="str">
        <f>"CR2314"</f>
        <v>CR2314</v>
      </c>
      <c r="C1557" s="10" t="s">
        <v>1536</v>
      </c>
    </row>
    <row r="1558" spans="1:3" s="10" customFormat="1" x14ac:dyDescent="0.25">
      <c r="A1558" s="10" t="str">
        <f>"0611862391050"</f>
        <v>0611862391050</v>
      </c>
      <c r="B1558" s="10" t="str">
        <f>"CR2316"</f>
        <v>CR2316</v>
      </c>
      <c r="C1558" s="10" t="s">
        <v>1537</v>
      </c>
    </row>
    <row r="1559" spans="1:3" s="10" customFormat="1" x14ac:dyDescent="0.25">
      <c r="A1559" s="10" t="str">
        <f>"0611884235050"</f>
        <v>0611884235050</v>
      </c>
      <c r="B1559" s="10" t="str">
        <f>"CR5409"</f>
        <v>CR5409</v>
      </c>
      <c r="C1559" s="10" t="s">
        <v>1538</v>
      </c>
    </row>
    <row r="1560" spans="1:3" s="10" customFormat="1" x14ac:dyDescent="0.25">
      <c r="A1560" s="10" t="str">
        <f>"0611862392050"</f>
        <v>0611862392050</v>
      </c>
      <c r="B1560" s="10" t="str">
        <f>"CR3090"</f>
        <v>CR3090</v>
      </c>
      <c r="C1560" s="10" t="s">
        <v>1539</v>
      </c>
    </row>
    <row r="1561" spans="1:3" s="10" customFormat="1" x14ac:dyDescent="0.25">
      <c r="A1561" s="10" t="str">
        <f>"0611862393050"</f>
        <v>0611862393050</v>
      </c>
      <c r="B1561" s="10" t="str">
        <f>"CR2318"</f>
        <v>CR2318</v>
      </c>
      <c r="C1561" s="10" t="s">
        <v>1540</v>
      </c>
    </row>
    <row r="1562" spans="1:3" s="10" customFormat="1" x14ac:dyDescent="0.25">
      <c r="A1562" s="10" t="str">
        <f>"0611906573050"</f>
        <v>0611906573050</v>
      </c>
      <c r="B1562" s="10" t="str">
        <f>"CR5496"</f>
        <v>CR5496</v>
      </c>
      <c r="C1562" s="10" t="s">
        <v>1541</v>
      </c>
    </row>
    <row r="1563" spans="1:3" s="10" customFormat="1" x14ac:dyDescent="0.25">
      <c r="A1563" s="10" t="str">
        <f>"0611862394050"</f>
        <v>0611862394050</v>
      </c>
      <c r="B1563" s="10" t="str">
        <f>"CR2319"</f>
        <v>CR2319</v>
      </c>
      <c r="C1563" s="10" t="s">
        <v>1542</v>
      </c>
    </row>
    <row r="1564" spans="1:3" s="10" customFormat="1" x14ac:dyDescent="0.25">
      <c r="A1564" s="10" t="str">
        <f>"0611862395050"</f>
        <v>0611862395050</v>
      </c>
      <c r="B1564" s="10" t="str">
        <f>"CR2643"</f>
        <v>CR2643</v>
      </c>
      <c r="C1564" s="10" t="s">
        <v>1543</v>
      </c>
    </row>
    <row r="1565" spans="1:3" s="10" customFormat="1" x14ac:dyDescent="0.25">
      <c r="A1565" s="10" t="str">
        <f>"0611862396050"</f>
        <v>0611862396050</v>
      </c>
      <c r="B1565" s="10" t="str">
        <f>"CR2320"</f>
        <v>CR2320</v>
      </c>
      <c r="C1565" s="10" t="s">
        <v>1544</v>
      </c>
    </row>
    <row r="1566" spans="1:3" s="10" customFormat="1" x14ac:dyDescent="0.25">
      <c r="A1566" s="10" t="str">
        <f>"0611862397050"</f>
        <v>0611862397050</v>
      </c>
      <c r="B1566" s="10" t="str">
        <f>"CR2321"</f>
        <v>CR2321</v>
      </c>
      <c r="C1566" s="10" t="s">
        <v>1545</v>
      </c>
    </row>
    <row r="1567" spans="1:3" s="10" customFormat="1" x14ac:dyDescent="0.25">
      <c r="A1567" s="10" t="str">
        <f>"0611862398050"</f>
        <v>0611862398050</v>
      </c>
      <c r="B1567" s="10" t="str">
        <f>"CR2322"</f>
        <v>CR2322</v>
      </c>
      <c r="C1567" s="10" t="s">
        <v>1546</v>
      </c>
    </row>
    <row r="1568" spans="1:3" s="10" customFormat="1" x14ac:dyDescent="0.25">
      <c r="A1568" s="10" t="str">
        <f>"0611862399050"</f>
        <v>0611862399050</v>
      </c>
      <c r="B1568" s="10" t="str">
        <f>"CR2323"</f>
        <v>CR2323</v>
      </c>
      <c r="C1568" s="10" t="s">
        <v>1547</v>
      </c>
    </row>
    <row r="1569" spans="1:3" s="10" customFormat="1" x14ac:dyDescent="0.25">
      <c r="A1569" s="10" t="str">
        <f>"0611862401050"</f>
        <v>0611862401050</v>
      </c>
      <c r="B1569" s="10" t="str">
        <f>"CR2324"</f>
        <v>CR2324</v>
      </c>
      <c r="C1569" s="10" t="s">
        <v>1548</v>
      </c>
    </row>
    <row r="1570" spans="1:3" s="10" customFormat="1" x14ac:dyDescent="0.25">
      <c r="A1570" s="10" t="str">
        <f>"0611862400050"</f>
        <v>0611862400050</v>
      </c>
      <c r="B1570" s="10" t="str">
        <f>"CR3091"</f>
        <v>CR3091</v>
      </c>
      <c r="C1570" s="10" t="s">
        <v>1549</v>
      </c>
    </row>
    <row r="1571" spans="1:3" s="10" customFormat="1" x14ac:dyDescent="0.25">
      <c r="A1571" s="10" t="str">
        <f>"0611862403050"</f>
        <v>0611862403050</v>
      </c>
      <c r="B1571" s="10" t="str">
        <f>"CR2325"</f>
        <v>CR2325</v>
      </c>
      <c r="C1571" s="10" t="s">
        <v>1550</v>
      </c>
    </row>
    <row r="1572" spans="1:3" s="10" customFormat="1" x14ac:dyDescent="0.25">
      <c r="A1572" s="10" t="str">
        <f>"0611862404050"</f>
        <v>0611862404050</v>
      </c>
      <c r="B1572" s="10" t="str">
        <f>"CR2853"</f>
        <v>CR2853</v>
      </c>
      <c r="C1572" s="10" t="s">
        <v>1551</v>
      </c>
    </row>
    <row r="1573" spans="1:3" s="10" customFormat="1" x14ac:dyDescent="0.25">
      <c r="A1573" s="10" t="str">
        <f>"0611862405050"</f>
        <v>0611862405050</v>
      </c>
      <c r="B1573" s="10" t="str">
        <f>"CR2326"</f>
        <v>CR2326</v>
      </c>
      <c r="C1573" s="10" t="s">
        <v>1552</v>
      </c>
    </row>
    <row r="1574" spans="1:3" s="10" customFormat="1" x14ac:dyDescent="0.25">
      <c r="A1574" s="10" t="str">
        <f>"0611862406050"</f>
        <v>0611862406050</v>
      </c>
      <c r="B1574" s="10" t="str">
        <f>"CR2856"</f>
        <v>CR2856</v>
      </c>
      <c r="C1574" s="10" t="s">
        <v>1553</v>
      </c>
    </row>
    <row r="1575" spans="1:3" s="10" customFormat="1" x14ac:dyDescent="0.25">
      <c r="A1575" s="10" t="str">
        <f>"0611862407050"</f>
        <v>0611862407050</v>
      </c>
      <c r="B1575" s="10" t="str">
        <f>"CR2858"</f>
        <v>CR2858</v>
      </c>
      <c r="C1575" s="10" t="s">
        <v>1554</v>
      </c>
    </row>
    <row r="1576" spans="1:3" s="10" customFormat="1" x14ac:dyDescent="0.25">
      <c r="A1576" s="10" t="str">
        <f>"0611862408050"</f>
        <v>0611862408050</v>
      </c>
      <c r="B1576" s="10" t="str">
        <f>"CR2859"</f>
        <v>CR2859</v>
      </c>
      <c r="C1576" s="10" t="s">
        <v>1555</v>
      </c>
    </row>
    <row r="1577" spans="1:3" s="10" customFormat="1" x14ac:dyDescent="0.25">
      <c r="A1577" s="10" t="str">
        <f>"0611862409050"</f>
        <v>0611862409050</v>
      </c>
      <c r="B1577" s="10" t="str">
        <f>"CR2327"</f>
        <v>CR2327</v>
      </c>
      <c r="C1577" s="10" t="s">
        <v>1556</v>
      </c>
    </row>
    <row r="1578" spans="1:3" s="10" customFormat="1" x14ac:dyDescent="0.25">
      <c r="A1578" s="10" t="str">
        <f>"0611862410050"</f>
        <v>0611862410050</v>
      </c>
      <c r="B1578" s="10" t="str">
        <f>"CR2328"</f>
        <v>CR2328</v>
      </c>
      <c r="C1578" s="10" t="s">
        <v>1557</v>
      </c>
    </row>
    <row r="1579" spans="1:3" s="10" customFormat="1" x14ac:dyDescent="0.25">
      <c r="A1579" s="10" t="str">
        <f>"0611862411050"</f>
        <v>0611862411050</v>
      </c>
      <c r="B1579" s="10" t="str">
        <f>"CR2329"</f>
        <v>CR2329</v>
      </c>
      <c r="C1579" s="10" t="s">
        <v>1558</v>
      </c>
    </row>
    <row r="1580" spans="1:3" s="10" customFormat="1" x14ac:dyDescent="0.25">
      <c r="A1580" s="10" t="str">
        <f>"0611862413050"</f>
        <v>0611862413050</v>
      </c>
      <c r="B1580" s="10" t="str">
        <f>"CR2330"</f>
        <v>CR2330</v>
      </c>
      <c r="C1580" s="10" t="s">
        <v>1559</v>
      </c>
    </row>
    <row r="1581" spans="1:3" s="10" customFormat="1" x14ac:dyDescent="0.25">
      <c r="A1581" s="10" t="str">
        <f>"0611862414050"</f>
        <v>0611862414050</v>
      </c>
      <c r="B1581" s="10" t="str">
        <f>"CR2331"</f>
        <v>CR2331</v>
      </c>
      <c r="C1581" s="10" t="s">
        <v>1560</v>
      </c>
    </row>
    <row r="1582" spans="1:3" s="10" customFormat="1" x14ac:dyDescent="0.25">
      <c r="A1582" s="10" t="str">
        <f>"0611862415050"</f>
        <v>0611862415050</v>
      </c>
      <c r="B1582" s="10" t="str">
        <f>"CR2332"</f>
        <v>CR2332</v>
      </c>
      <c r="C1582" s="10" t="s">
        <v>1561</v>
      </c>
    </row>
    <row r="1583" spans="1:3" s="10" customFormat="1" x14ac:dyDescent="0.25">
      <c r="A1583" s="10" t="str">
        <f>"0611862416050"</f>
        <v>0611862416050</v>
      </c>
      <c r="B1583" s="10" t="str">
        <f>"CR2333"</f>
        <v>CR2333</v>
      </c>
      <c r="C1583" s="10" t="s">
        <v>1562</v>
      </c>
    </row>
    <row r="1584" spans="1:3" s="10" customFormat="1" x14ac:dyDescent="0.25">
      <c r="A1584" s="10" t="str">
        <f>"0611862417050"</f>
        <v>0611862417050</v>
      </c>
      <c r="B1584" s="10" t="str">
        <f>"CR2334"</f>
        <v>CR2334</v>
      </c>
      <c r="C1584" s="10" t="s">
        <v>1563</v>
      </c>
    </row>
    <row r="1585" spans="1:3" s="10" customFormat="1" x14ac:dyDescent="0.25">
      <c r="A1585" s="10" t="str">
        <f>"0611862418050"</f>
        <v>0611862418050</v>
      </c>
      <c r="B1585" s="10" t="str">
        <f>"CR2336"</f>
        <v>CR2336</v>
      </c>
      <c r="C1585" s="10" t="s">
        <v>1564</v>
      </c>
    </row>
    <row r="1586" spans="1:3" s="10" customFormat="1" x14ac:dyDescent="0.25">
      <c r="A1586" s="10" t="str">
        <f>"0611862419050"</f>
        <v>0611862419050</v>
      </c>
      <c r="B1586" s="10" t="str">
        <f>"CR4987"</f>
        <v>CR4987</v>
      </c>
      <c r="C1586" s="10" t="s">
        <v>1565</v>
      </c>
    </row>
    <row r="1587" spans="1:3" s="10" customFormat="1" x14ac:dyDescent="0.25">
      <c r="A1587" s="10" t="str">
        <f>"0611862420050"</f>
        <v>0611862420050</v>
      </c>
      <c r="B1587" s="10" t="str">
        <f>"CR5249"</f>
        <v>CR5249</v>
      </c>
      <c r="C1587" s="10" t="s">
        <v>1566</v>
      </c>
    </row>
    <row r="1588" spans="1:3" s="10" customFormat="1" x14ac:dyDescent="0.25">
      <c r="A1588" s="10" t="str">
        <f>"0611862421050"</f>
        <v>0611862421050</v>
      </c>
      <c r="B1588" s="10" t="str">
        <f>"CR2337"</f>
        <v>CR2337</v>
      </c>
      <c r="C1588" s="10" t="s">
        <v>1567</v>
      </c>
    </row>
    <row r="1589" spans="1:3" s="10" customFormat="1" x14ac:dyDescent="0.25">
      <c r="A1589" s="10" t="str">
        <f>"0611862422050"</f>
        <v>0611862422050</v>
      </c>
      <c r="B1589" s="10" t="str">
        <f>"CR2340"</f>
        <v>CR2340</v>
      </c>
      <c r="C1589" s="10" t="s">
        <v>1568</v>
      </c>
    </row>
    <row r="1590" spans="1:3" s="10" customFormat="1" x14ac:dyDescent="0.25">
      <c r="A1590" s="10" t="str">
        <f>"0611862423050"</f>
        <v>0611862423050</v>
      </c>
      <c r="B1590" s="10" t="str">
        <f>"CR4120"</f>
        <v>CR4120</v>
      </c>
      <c r="C1590" s="10" t="s">
        <v>1569</v>
      </c>
    </row>
    <row r="1591" spans="1:3" s="10" customFormat="1" x14ac:dyDescent="0.25">
      <c r="A1591" s="10" t="str">
        <f>"0611862425050"</f>
        <v>0611862425050</v>
      </c>
      <c r="B1591" s="10" t="str">
        <f>"CR2339"</f>
        <v>CR2339</v>
      </c>
      <c r="C1591" s="10" t="s">
        <v>1570</v>
      </c>
    </row>
    <row r="1592" spans="1:3" s="10" customFormat="1" x14ac:dyDescent="0.25">
      <c r="A1592" s="10" t="str">
        <f>"0611862424050"</f>
        <v>0611862424050</v>
      </c>
      <c r="B1592" s="10" t="str">
        <f>"CR2338"</f>
        <v>CR2338</v>
      </c>
      <c r="C1592" s="10" t="s">
        <v>1571</v>
      </c>
    </row>
    <row r="1593" spans="1:3" s="10" customFormat="1" x14ac:dyDescent="0.25">
      <c r="A1593" s="10" t="str">
        <f>"0611862427050"</f>
        <v>0611862427050</v>
      </c>
      <c r="B1593" s="10" t="str">
        <f>"CR2343"</f>
        <v>CR2343</v>
      </c>
      <c r="C1593" s="10" t="s">
        <v>1572</v>
      </c>
    </row>
    <row r="1594" spans="1:3" s="10" customFormat="1" x14ac:dyDescent="0.25">
      <c r="A1594" s="10" t="str">
        <f>"0611862426050"</f>
        <v>0611862426050</v>
      </c>
      <c r="B1594" s="10" t="str">
        <f>"CR2342"</f>
        <v>CR2342</v>
      </c>
      <c r="C1594" s="10" t="s">
        <v>1573</v>
      </c>
    </row>
    <row r="1595" spans="1:3" s="10" customFormat="1" x14ac:dyDescent="0.25">
      <c r="A1595" s="10" t="str">
        <f>"0611862428050"</f>
        <v>0611862428050</v>
      </c>
      <c r="B1595" s="10" t="str">
        <f>"CR2344"</f>
        <v>CR2344</v>
      </c>
      <c r="C1595" s="10" t="s">
        <v>1574</v>
      </c>
    </row>
    <row r="1596" spans="1:3" s="10" customFormat="1" x14ac:dyDescent="0.25">
      <c r="A1596" s="10" t="str">
        <f>"0611862429050"</f>
        <v>0611862429050</v>
      </c>
      <c r="B1596" s="10" t="str">
        <f>"CR4988"</f>
        <v>CR4988</v>
      </c>
      <c r="C1596" s="10" t="s">
        <v>1575</v>
      </c>
    </row>
    <row r="1597" spans="1:3" s="10" customFormat="1" x14ac:dyDescent="0.25">
      <c r="A1597" s="10" t="str">
        <f>"0611862430050"</f>
        <v>0611862430050</v>
      </c>
      <c r="B1597" s="10" t="str">
        <f>"CR2345"</f>
        <v>CR2345</v>
      </c>
      <c r="C1597" s="10" t="s">
        <v>1576</v>
      </c>
    </row>
    <row r="1598" spans="1:3" s="10" customFormat="1" x14ac:dyDescent="0.25">
      <c r="A1598" t="str">
        <f>"0611837309100"</f>
        <v>0611837309100</v>
      </c>
      <c r="B1598" t="str">
        <f>"LK4776"</f>
        <v>LK4776</v>
      </c>
      <c r="C1598" t="s">
        <v>1577</v>
      </c>
    </row>
    <row r="1599" spans="1:3" s="10" customFormat="1" x14ac:dyDescent="0.25">
      <c r="A1599" s="10" t="str">
        <f>"0611862459050"</f>
        <v>0611862459050</v>
      </c>
      <c r="B1599" s="10" t="str">
        <f>"CR3535"</f>
        <v>CR3535</v>
      </c>
      <c r="C1599" s="10" t="s">
        <v>1578</v>
      </c>
    </row>
    <row r="1600" spans="1:3" s="10" customFormat="1" x14ac:dyDescent="0.25">
      <c r="A1600" s="10" t="str">
        <f>"0611862460050"</f>
        <v>0611862460050</v>
      </c>
      <c r="B1600" s="10" t="str">
        <f>"CR3087"</f>
        <v>CR3087</v>
      </c>
      <c r="C1600" s="10" t="s">
        <v>1579</v>
      </c>
    </row>
    <row r="1601" spans="1:3" s="10" customFormat="1" x14ac:dyDescent="0.25">
      <c r="A1601" s="10" t="str">
        <f>"0611862461050"</f>
        <v>0611862461050</v>
      </c>
      <c r="B1601" s="10" t="str">
        <f>"CR3089"</f>
        <v>CR3089</v>
      </c>
      <c r="C1601" s="10" t="s">
        <v>1580</v>
      </c>
    </row>
    <row r="1602" spans="1:3" s="10" customFormat="1" x14ac:dyDescent="0.25">
      <c r="A1602" t="str">
        <f>"0611837316100"</f>
        <v>0611837316100</v>
      </c>
      <c r="B1602" t="str">
        <f>"LB3039"</f>
        <v>LB3039</v>
      </c>
      <c r="C1602" t="s">
        <v>1581</v>
      </c>
    </row>
    <row r="1603" spans="1:3" s="10" customFormat="1" x14ac:dyDescent="0.25">
      <c r="A1603" s="10" t="str">
        <f>"0611906574050"</f>
        <v>0611906574050</v>
      </c>
      <c r="B1603" s="10" t="str">
        <f>"CR5501"</f>
        <v>CR5501</v>
      </c>
      <c r="C1603" s="10" t="s">
        <v>1582</v>
      </c>
    </row>
    <row r="1604" spans="1:3" s="10" customFormat="1" x14ac:dyDescent="0.25">
      <c r="A1604" s="10" t="str">
        <f>"0611862463050"</f>
        <v>0611862463050</v>
      </c>
      <c r="B1604" s="10" t="str">
        <f>"CR2346"</f>
        <v>CR2346</v>
      </c>
      <c r="C1604" s="10" t="s">
        <v>1583</v>
      </c>
    </row>
    <row r="1605" spans="1:3" s="10" customFormat="1" x14ac:dyDescent="0.25">
      <c r="A1605" s="10" t="str">
        <f>"0611884241100"</f>
        <v>0611884241100</v>
      </c>
      <c r="B1605" s="10" t="str">
        <f>"CN2121"</f>
        <v>CN2121</v>
      </c>
      <c r="C1605" s="10" t="s">
        <v>1584</v>
      </c>
    </row>
    <row r="1606" spans="1:3" s="10" customFormat="1" x14ac:dyDescent="0.25">
      <c r="A1606" s="10" t="str">
        <f>"0611862465100"</f>
        <v>0611862465100</v>
      </c>
      <c r="B1606" s="10" t="str">
        <f>"CN2122"</f>
        <v>CN2122</v>
      </c>
      <c r="C1606" s="10" t="s">
        <v>1585</v>
      </c>
    </row>
    <row r="1607" spans="1:3" s="10" customFormat="1" x14ac:dyDescent="0.25">
      <c r="A1607" s="10" t="str">
        <f>"0611862466100"</f>
        <v>0611862466100</v>
      </c>
      <c r="B1607" s="10" t="str">
        <f>"CN2124"</f>
        <v>CN2124</v>
      </c>
      <c r="C1607" s="10" t="s">
        <v>1586</v>
      </c>
    </row>
    <row r="1608" spans="1:3" s="10" customFormat="1" x14ac:dyDescent="0.25">
      <c r="A1608" s="10" t="str">
        <f>"0611862467100"</f>
        <v>0611862467100</v>
      </c>
      <c r="B1608" s="10" t="str">
        <f>"CN2125"</f>
        <v>CN2125</v>
      </c>
      <c r="C1608" s="10" t="s">
        <v>1587</v>
      </c>
    </row>
    <row r="1609" spans="1:3" s="10" customFormat="1" x14ac:dyDescent="0.25">
      <c r="A1609" s="10" t="str">
        <f>"0611862468100"</f>
        <v>0611862468100</v>
      </c>
      <c r="B1609" s="10" t="str">
        <f>"CN2126"</f>
        <v>CN2126</v>
      </c>
      <c r="C1609" s="10" t="s">
        <v>1588</v>
      </c>
    </row>
    <row r="1610" spans="1:3" s="10" customFormat="1" x14ac:dyDescent="0.25">
      <c r="A1610" s="10" t="str">
        <f>"0611862469100"</f>
        <v>0611862469100</v>
      </c>
      <c r="B1610" s="10" t="str">
        <f>"CN2127"</f>
        <v>CN2127</v>
      </c>
      <c r="C1610" s="10" t="s">
        <v>1589</v>
      </c>
    </row>
    <row r="1611" spans="1:3" s="10" customFormat="1" x14ac:dyDescent="0.25">
      <c r="A1611" s="10" t="str">
        <f>"0611862470100"</f>
        <v>0611862470100</v>
      </c>
      <c r="B1611" s="10" t="str">
        <f>"CN2132"</f>
        <v>CN2132</v>
      </c>
      <c r="C1611" s="10" t="s">
        <v>1590</v>
      </c>
    </row>
    <row r="1612" spans="1:3" s="10" customFormat="1" x14ac:dyDescent="0.25">
      <c r="A1612" s="10" t="str">
        <f>"0611862471100"</f>
        <v>0611862471100</v>
      </c>
      <c r="B1612" s="10" t="str">
        <f>"CN2134"</f>
        <v>CN2134</v>
      </c>
      <c r="C1612" s="10" t="s">
        <v>1591</v>
      </c>
    </row>
    <row r="1613" spans="1:3" s="10" customFormat="1" x14ac:dyDescent="0.25">
      <c r="A1613" s="10" t="str">
        <f>"0611862472100"</f>
        <v>0611862472100</v>
      </c>
      <c r="B1613" s="10" t="str">
        <f>"CN2128"</f>
        <v>CN2128</v>
      </c>
      <c r="C1613" s="10" t="s">
        <v>1592</v>
      </c>
    </row>
    <row r="1614" spans="1:3" s="10" customFormat="1" x14ac:dyDescent="0.25">
      <c r="A1614" s="10" t="str">
        <f>"0611862473100"</f>
        <v>0611862473100</v>
      </c>
      <c r="B1614" s="10" t="str">
        <f>"CN2133"</f>
        <v>CN2133</v>
      </c>
      <c r="C1614" s="10" t="s">
        <v>1593</v>
      </c>
    </row>
    <row r="1615" spans="1:3" s="10" customFormat="1" x14ac:dyDescent="0.25">
      <c r="A1615" s="10" t="str">
        <f>"0611862474100"</f>
        <v>0611862474100</v>
      </c>
      <c r="B1615" s="10" t="str">
        <f>"CN2129"</f>
        <v>CN2129</v>
      </c>
      <c r="C1615" s="10" t="s">
        <v>1594</v>
      </c>
    </row>
    <row r="1616" spans="1:3" s="10" customFormat="1" x14ac:dyDescent="0.25">
      <c r="A1616" s="10" t="str">
        <f>"0611862475100"</f>
        <v>0611862475100</v>
      </c>
      <c r="B1616" s="10" t="str">
        <f>"CN2130"</f>
        <v>CN2130</v>
      </c>
      <c r="C1616" s="10" t="s">
        <v>1595</v>
      </c>
    </row>
    <row r="1617" spans="1:3" s="10" customFormat="1" x14ac:dyDescent="0.25">
      <c r="A1617" s="10" t="str">
        <f>"0611862476100"</f>
        <v>0611862476100</v>
      </c>
      <c r="B1617" s="10" t="str">
        <f>"CN2131"</f>
        <v>CN2131</v>
      </c>
      <c r="C1617" s="10" t="s">
        <v>1596</v>
      </c>
    </row>
    <row r="1618" spans="1:3" s="10" customFormat="1" x14ac:dyDescent="0.25">
      <c r="A1618" s="10" t="str">
        <f>"0611862477100"</f>
        <v>0611862477100</v>
      </c>
      <c r="B1618" s="10" t="str">
        <f>"CN2135"</f>
        <v>CN2135</v>
      </c>
      <c r="C1618" s="10" t="s">
        <v>1597</v>
      </c>
    </row>
    <row r="1619" spans="1:3" s="10" customFormat="1" x14ac:dyDescent="0.25">
      <c r="A1619" s="10" t="str">
        <f>"0611862478100"</f>
        <v>0611862478100</v>
      </c>
      <c r="B1619" s="10" t="str">
        <f>"CN2138"</f>
        <v>CN2138</v>
      </c>
      <c r="C1619" s="10" t="s">
        <v>1598</v>
      </c>
    </row>
    <row r="1620" spans="1:3" s="10" customFormat="1" x14ac:dyDescent="0.25">
      <c r="A1620" s="10" t="str">
        <f>"0611862479100"</f>
        <v>0611862479100</v>
      </c>
      <c r="B1620" s="10" t="str">
        <f>"CN2139"</f>
        <v>CN2139</v>
      </c>
      <c r="C1620" s="10" t="s">
        <v>1599</v>
      </c>
    </row>
    <row r="1621" spans="1:3" s="10" customFormat="1" x14ac:dyDescent="0.25">
      <c r="A1621" s="10" t="str">
        <f>"0611862480100"</f>
        <v>0611862480100</v>
      </c>
      <c r="B1621" s="10" t="str">
        <f>"CN2140"</f>
        <v>CN2140</v>
      </c>
      <c r="C1621" s="10" t="s">
        <v>1600</v>
      </c>
    </row>
    <row r="1622" spans="1:3" s="10" customFormat="1" x14ac:dyDescent="0.25">
      <c r="A1622" s="10" t="str">
        <f>"0611862481100"</f>
        <v>0611862481100</v>
      </c>
      <c r="B1622" s="10" t="str">
        <f>"CN2141"</f>
        <v>CN2141</v>
      </c>
      <c r="C1622" s="10" t="s">
        <v>1601</v>
      </c>
    </row>
    <row r="1623" spans="1:3" s="10" customFormat="1" x14ac:dyDescent="0.25">
      <c r="A1623" s="10" t="str">
        <f>"0611862482100"</f>
        <v>0611862482100</v>
      </c>
      <c r="B1623" s="10" t="str">
        <f>"CN2325"</f>
        <v>CN2325</v>
      </c>
      <c r="C1623" s="10" t="s">
        <v>1602</v>
      </c>
    </row>
    <row r="1624" spans="1:3" s="10" customFormat="1" x14ac:dyDescent="0.25">
      <c r="A1624" s="10" t="str">
        <f>"0611862483100"</f>
        <v>0611862483100</v>
      </c>
      <c r="B1624" s="10" t="str">
        <f>"CN2145"</f>
        <v>CN2145</v>
      </c>
      <c r="C1624" s="10" t="s">
        <v>1603</v>
      </c>
    </row>
    <row r="1625" spans="1:3" s="10" customFormat="1" x14ac:dyDescent="0.25">
      <c r="A1625" s="10" t="str">
        <f>"0611862484100"</f>
        <v>0611862484100</v>
      </c>
      <c r="B1625" s="10" t="str">
        <f>"CN2146"</f>
        <v>CN2146</v>
      </c>
      <c r="C1625" s="10" t="s">
        <v>1604</v>
      </c>
    </row>
    <row r="1626" spans="1:3" s="10" customFormat="1" x14ac:dyDescent="0.25">
      <c r="A1626" s="10" t="str">
        <f>"0611862485100"</f>
        <v>0611862485100</v>
      </c>
      <c r="B1626" s="10" t="str">
        <f>"CN2136"</f>
        <v>CN2136</v>
      </c>
      <c r="C1626" s="10" t="s">
        <v>1605</v>
      </c>
    </row>
    <row r="1627" spans="1:3" s="10" customFormat="1" x14ac:dyDescent="0.25">
      <c r="A1627" s="10" t="str">
        <f>"0611862486100"</f>
        <v>0611862486100</v>
      </c>
      <c r="B1627" s="10" t="str">
        <f>"CN2147"</f>
        <v>CN2147</v>
      </c>
      <c r="C1627" s="10" t="s">
        <v>1606</v>
      </c>
    </row>
    <row r="1628" spans="1:3" s="10" customFormat="1" x14ac:dyDescent="0.25">
      <c r="A1628" s="10" t="str">
        <f>"0611862488100"</f>
        <v>0611862488100</v>
      </c>
      <c r="B1628" s="10" t="str">
        <f>"CN2137"</f>
        <v>CN2137</v>
      </c>
      <c r="C1628" s="10" t="s">
        <v>1607</v>
      </c>
    </row>
    <row r="1629" spans="1:3" s="10" customFormat="1" x14ac:dyDescent="0.25">
      <c r="A1629" s="10" t="str">
        <f>"0611862489100"</f>
        <v>0611862489100</v>
      </c>
      <c r="B1629" s="10" t="str">
        <f>"CN2148"</f>
        <v>CN2148</v>
      </c>
      <c r="C1629" s="10" t="s">
        <v>1608</v>
      </c>
    </row>
    <row r="1630" spans="1:3" s="10" customFormat="1" x14ac:dyDescent="0.25">
      <c r="A1630" s="10" t="str">
        <f>"0611862491100"</f>
        <v>0611862491100</v>
      </c>
      <c r="B1630" s="10" t="str">
        <f>"CN2150"</f>
        <v>CN2150</v>
      </c>
      <c r="C1630" s="10" t="s">
        <v>1609</v>
      </c>
    </row>
    <row r="1631" spans="1:3" s="10" customFormat="1" x14ac:dyDescent="0.25">
      <c r="A1631" s="10" t="str">
        <f>"0611862492100"</f>
        <v>0611862492100</v>
      </c>
      <c r="B1631" s="10" t="str">
        <f>"CN2142"</f>
        <v>CN2142</v>
      </c>
      <c r="C1631" s="10" t="s">
        <v>1610</v>
      </c>
    </row>
    <row r="1632" spans="1:3" s="10" customFormat="1" x14ac:dyDescent="0.25">
      <c r="A1632" s="10" t="str">
        <f>"0611862493100"</f>
        <v>0611862493100</v>
      </c>
      <c r="B1632" s="10" t="str">
        <f>"CN2151"</f>
        <v>CN2151</v>
      </c>
      <c r="C1632" s="10" t="s">
        <v>1611</v>
      </c>
    </row>
    <row r="1633" spans="1:3" s="10" customFormat="1" x14ac:dyDescent="0.25">
      <c r="A1633" s="10" t="str">
        <f>"0611862494100"</f>
        <v>0611862494100</v>
      </c>
      <c r="B1633" s="10" t="str">
        <f>"CN2143"</f>
        <v>CN2143</v>
      </c>
      <c r="C1633" s="10" t="s">
        <v>1612</v>
      </c>
    </row>
    <row r="1634" spans="1:3" s="10" customFormat="1" x14ac:dyDescent="0.25">
      <c r="A1634" s="10" t="str">
        <f>"0611862498100"</f>
        <v>0611862498100</v>
      </c>
      <c r="B1634" s="10" t="str">
        <f>"CN5199"</f>
        <v>CN5199</v>
      </c>
      <c r="C1634" s="10" t="s">
        <v>1613</v>
      </c>
    </row>
    <row r="1635" spans="1:3" s="10" customFormat="1" x14ac:dyDescent="0.25">
      <c r="A1635" s="10" t="str">
        <f>"0611862499100"</f>
        <v>0611862499100</v>
      </c>
      <c r="B1635" s="10" t="str">
        <f>"CN5192"</f>
        <v>CN5192</v>
      </c>
      <c r="C1635" s="10" t="s">
        <v>1614</v>
      </c>
    </row>
    <row r="1636" spans="1:3" s="10" customFormat="1" x14ac:dyDescent="0.25">
      <c r="A1636" s="10" t="str">
        <f>"0611862500050"</f>
        <v>0611862500050</v>
      </c>
      <c r="B1636" s="10" t="str">
        <f>"CR4315"</f>
        <v>CR4315</v>
      </c>
      <c r="C1636" s="10" t="s">
        <v>1615</v>
      </c>
    </row>
    <row r="1637" spans="1:3" s="10" customFormat="1" x14ac:dyDescent="0.25">
      <c r="A1637" s="10" t="str">
        <f>"0611862501100"</f>
        <v>0611862501100</v>
      </c>
      <c r="B1637" s="10" t="str">
        <f>"CN5193"</f>
        <v>CN5193</v>
      </c>
      <c r="C1637" s="10" t="s">
        <v>1616</v>
      </c>
    </row>
    <row r="1638" spans="1:3" s="10" customFormat="1" x14ac:dyDescent="0.25">
      <c r="A1638" s="10" t="str">
        <f>"0611862502100"</f>
        <v>0611862502100</v>
      </c>
      <c r="B1638" s="10" t="str">
        <f>"CN5194"</f>
        <v>CN5194</v>
      </c>
      <c r="C1638" s="10" t="s">
        <v>1617</v>
      </c>
    </row>
    <row r="1639" spans="1:3" s="10" customFormat="1" x14ac:dyDescent="0.25">
      <c r="A1639" s="10" t="str">
        <f>"0611862495100"</f>
        <v>0611862495100</v>
      </c>
      <c r="B1639" s="10" t="str">
        <f>"CN5190"</f>
        <v>CN5190</v>
      </c>
      <c r="C1639" s="10" t="s">
        <v>1618</v>
      </c>
    </row>
    <row r="1640" spans="1:3" s="10" customFormat="1" x14ac:dyDescent="0.25">
      <c r="A1640" s="10" t="str">
        <f>"0611862497050"</f>
        <v>0611862497050</v>
      </c>
      <c r="B1640" s="10" t="str">
        <f>"CR4322"</f>
        <v>CR4322</v>
      </c>
      <c r="C1640" s="10" t="s">
        <v>1619</v>
      </c>
    </row>
    <row r="1641" spans="1:3" s="10" customFormat="1" x14ac:dyDescent="0.25">
      <c r="A1641" s="10" t="str">
        <f>"0611862503100"</f>
        <v>0611862503100</v>
      </c>
      <c r="B1641" s="10" t="str">
        <f>"CN5191"</f>
        <v>CN5191</v>
      </c>
      <c r="C1641" s="10" t="s">
        <v>1620</v>
      </c>
    </row>
    <row r="1642" spans="1:3" s="10" customFormat="1" x14ac:dyDescent="0.25">
      <c r="A1642" s="10" t="str">
        <f>"0611862504050"</f>
        <v>0611862504050</v>
      </c>
      <c r="B1642" s="10" t="str">
        <f>"CR3232"</f>
        <v>CR3232</v>
      </c>
      <c r="C1642" s="10" t="s">
        <v>1621</v>
      </c>
    </row>
    <row r="1643" spans="1:3" s="10" customFormat="1" x14ac:dyDescent="0.25">
      <c r="A1643" s="10" t="str">
        <f>"0611862505100"</f>
        <v>0611862505100</v>
      </c>
      <c r="B1643" s="10" t="str">
        <f>"CN5195"</f>
        <v>CN5195</v>
      </c>
      <c r="C1643" s="10" t="s">
        <v>1622</v>
      </c>
    </row>
    <row r="1644" spans="1:3" s="10" customFormat="1" x14ac:dyDescent="0.25">
      <c r="A1644" s="10" t="str">
        <f>"0611893603100"</f>
        <v>0611893603100</v>
      </c>
      <c r="B1644" s="10" t="str">
        <f>"CN5196"</f>
        <v>CN5196</v>
      </c>
      <c r="C1644" s="10" t="s">
        <v>1623</v>
      </c>
    </row>
    <row r="1645" spans="1:3" s="10" customFormat="1" x14ac:dyDescent="0.25">
      <c r="A1645" s="10" t="str">
        <f>"0611862508100"</f>
        <v>0611862508100</v>
      </c>
      <c r="B1645" s="10" t="str">
        <f>"CN5197"</f>
        <v>CN5197</v>
      </c>
      <c r="C1645" s="10" t="s">
        <v>1624</v>
      </c>
    </row>
    <row r="1646" spans="1:3" s="10" customFormat="1" x14ac:dyDescent="0.25">
      <c r="A1646" s="10" t="str">
        <f>"0611862509100"</f>
        <v>0611862509100</v>
      </c>
      <c r="B1646" s="10" t="str">
        <f>"CN5198"</f>
        <v>CN5198</v>
      </c>
      <c r="C1646" s="10" t="s">
        <v>1625</v>
      </c>
    </row>
    <row r="1647" spans="1:3" s="10" customFormat="1" x14ac:dyDescent="0.25">
      <c r="A1647" s="10" t="str">
        <f>"0611862512100"</f>
        <v>0611862512100</v>
      </c>
      <c r="B1647" s="10" t="str">
        <f>"CN2370"</f>
        <v>CN2370</v>
      </c>
      <c r="C1647" s="10" t="s">
        <v>1626</v>
      </c>
    </row>
    <row r="1648" spans="1:3" s="10" customFormat="1" x14ac:dyDescent="0.25">
      <c r="A1648" s="10" t="str">
        <f>"0611862513100"</f>
        <v>0611862513100</v>
      </c>
      <c r="B1648" s="10" t="str">
        <f>"CN2371"</f>
        <v>CN2371</v>
      </c>
      <c r="C1648" s="10" t="s">
        <v>1627</v>
      </c>
    </row>
    <row r="1649" spans="1:3" s="10" customFormat="1" x14ac:dyDescent="0.25">
      <c r="A1649" s="10" t="str">
        <f>"0611862514100"</f>
        <v>0611862514100</v>
      </c>
      <c r="B1649" s="10" t="str">
        <f>"CN2372"</f>
        <v>CN2372</v>
      </c>
      <c r="C1649" s="10" t="s">
        <v>1628</v>
      </c>
    </row>
    <row r="1650" spans="1:3" s="10" customFormat="1" x14ac:dyDescent="0.25">
      <c r="A1650" s="10" t="str">
        <f>"0611862517050"</f>
        <v>0611862517050</v>
      </c>
      <c r="B1650" s="10" t="str">
        <f>"CR2860"</f>
        <v>CR2860</v>
      </c>
      <c r="C1650" s="10" t="s">
        <v>1629</v>
      </c>
    </row>
    <row r="1651" spans="1:3" s="10" customFormat="1" x14ac:dyDescent="0.25">
      <c r="A1651" s="10" t="str">
        <f>"0611862520050"</f>
        <v>0611862520050</v>
      </c>
      <c r="B1651" s="10" t="str">
        <f>"CR2863"</f>
        <v>CR2863</v>
      </c>
      <c r="C1651" s="10" t="s">
        <v>1630</v>
      </c>
    </row>
    <row r="1652" spans="1:3" s="10" customFormat="1" x14ac:dyDescent="0.25">
      <c r="A1652" s="10" t="str">
        <f>"0611862522050"</f>
        <v>0611862522050</v>
      </c>
      <c r="B1652" s="10" t="str">
        <f>"CR2348"</f>
        <v>CR2348</v>
      </c>
      <c r="C1652" s="10" t="s">
        <v>1631</v>
      </c>
    </row>
    <row r="1653" spans="1:3" s="10" customFormat="1" x14ac:dyDescent="0.25">
      <c r="A1653" s="10" t="str">
        <f>"0611862523050"</f>
        <v>0611862523050</v>
      </c>
      <c r="B1653" s="10" t="str">
        <f>"CR2349"</f>
        <v>CR2349</v>
      </c>
      <c r="C1653" s="10" t="s">
        <v>1632</v>
      </c>
    </row>
    <row r="1654" spans="1:3" s="10" customFormat="1" x14ac:dyDescent="0.25">
      <c r="A1654" s="10" t="str">
        <f>"0611862524050"</f>
        <v>0611862524050</v>
      </c>
      <c r="B1654" s="10" t="str">
        <f>"CR3166"</f>
        <v>CR3166</v>
      </c>
      <c r="C1654" s="10" t="s">
        <v>1633</v>
      </c>
    </row>
    <row r="1655" spans="1:3" s="10" customFormat="1" x14ac:dyDescent="0.25">
      <c r="A1655" s="10" t="str">
        <f>"0611862525050"</f>
        <v>0611862525050</v>
      </c>
      <c r="B1655" s="10" t="str">
        <f>"CR2811"</f>
        <v>CR2811</v>
      </c>
      <c r="C1655" s="10" t="s">
        <v>1634</v>
      </c>
    </row>
    <row r="1656" spans="1:3" s="10" customFormat="1" x14ac:dyDescent="0.25">
      <c r="A1656" s="10" t="str">
        <f>"0611862526100"</f>
        <v>0611862526100</v>
      </c>
      <c r="B1656" s="10" t="str">
        <f>"CN5200"</f>
        <v>CN5200</v>
      </c>
      <c r="C1656" s="10" t="s">
        <v>1635</v>
      </c>
    </row>
    <row r="1657" spans="1:3" s="10" customFormat="1" x14ac:dyDescent="0.25">
      <c r="A1657" s="10" t="str">
        <f>"0611862527050"</f>
        <v>0611862527050</v>
      </c>
      <c r="B1657" s="10" t="str">
        <f>"CR4323"</f>
        <v>CR4323</v>
      </c>
      <c r="C1657" s="10" t="s">
        <v>1636</v>
      </c>
    </row>
    <row r="1658" spans="1:3" s="10" customFormat="1" x14ac:dyDescent="0.25">
      <c r="A1658" s="10" t="str">
        <f>"0611862528050"</f>
        <v>0611862528050</v>
      </c>
      <c r="B1658" s="10" t="str">
        <f>"CR2963"</f>
        <v>CR2963</v>
      </c>
      <c r="C1658" s="10" t="s">
        <v>1637</v>
      </c>
    </row>
    <row r="1659" spans="1:3" s="10" customFormat="1" x14ac:dyDescent="0.25">
      <c r="A1659" s="10" t="str">
        <f>"0611862529050"</f>
        <v>0611862529050</v>
      </c>
      <c r="B1659" s="10" t="str">
        <f>"CR4961"</f>
        <v>CR4961</v>
      </c>
      <c r="C1659" s="10" t="s">
        <v>1638</v>
      </c>
    </row>
    <row r="1660" spans="1:3" s="10" customFormat="1" x14ac:dyDescent="0.25">
      <c r="A1660" s="10" t="str">
        <f>"0611862572100"</f>
        <v>0611862572100</v>
      </c>
      <c r="B1660" s="10" t="str">
        <f>"CN5201"</f>
        <v>CN5201</v>
      </c>
      <c r="C1660" s="10" t="s">
        <v>1640</v>
      </c>
    </row>
    <row r="1661" spans="1:3" s="10" customFormat="1" x14ac:dyDescent="0.25">
      <c r="A1661" s="10" t="str">
        <f>"0611862573050"</f>
        <v>0611862573050</v>
      </c>
      <c r="B1661" s="10" t="str">
        <f>"CR4324"</f>
        <v>CR4324</v>
      </c>
      <c r="C1661" s="10" t="s">
        <v>1641</v>
      </c>
    </row>
    <row r="1662" spans="1:3" s="10" customFormat="1" x14ac:dyDescent="0.25">
      <c r="A1662" s="10" t="str">
        <f>"0611862580050"</f>
        <v>0611862580050</v>
      </c>
      <c r="B1662" s="10" t="str">
        <f>"CR4327"</f>
        <v>CR4327</v>
      </c>
      <c r="C1662" s="10" t="s">
        <v>1642</v>
      </c>
    </row>
    <row r="1663" spans="1:3" s="10" customFormat="1" x14ac:dyDescent="0.25">
      <c r="A1663" s="10" t="str">
        <f>"0611893605100"</f>
        <v>0611893605100</v>
      </c>
      <c r="B1663" s="10" t="str">
        <f>"CN5457"</f>
        <v>CN5457</v>
      </c>
      <c r="C1663" s="10" t="s">
        <v>1643</v>
      </c>
    </row>
    <row r="1664" spans="1:3" s="10" customFormat="1" x14ac:dyDescent="0.25">
      <c r="A1664" s="10" t="str">
        <f>"0611862581050"</f>
        <v>0611862581050</v>
      </c>
      <c r="B1664" s="10" t="str">
        <f>"CR4330"</f>
        <v>CR4330</v>
      </c>
      <c r="C1664" s="10" t="s">
        <v>1644</v>
      </c>
    </row>
    <row r="1665" spans="1:3" s="10" customFormat="1" x14ac:dyDescent="0.25">
      <c r="A1665" s="10" t="str">
        <f>"0611862582100"</f>
        <v>0611862582100</v>
      </c>
      <c r="B1665" s="10" t="str">
        <f>"CN5202"</f>
        <v>CN5202</v>
      </c>
      <c r="C1665" s="10" t="s">
        <v>1645</v>
      </c>
    </row>
    <row r="1666" spans="1:3" s="10" customFormat="1" x14ac:dyDescent="0.25">
      <c r="A1666" s="10" t="str">
        <f>"0611862584100"</f>
        <v>0611862584100</v>
      </c>
      <c r="B1666" s="10" t="str">
        <f>"CN5203"</f>
        <v>CN5203</v>
      </c>
      <c r="C1666" s="10" t="s">
        <v>1646</v>
      </c>
    </row>
    <row r="1667" spans="1:3" s="10" customFormat="1" x14ac:dyDescent="0.25">
      <c r="A1667" s="10" t="str">
        <f>"0611862588100"</f>
        <v>0611862588100</v>
      </c>
      <c r="B1667" s="10" t="str">
        <f>"CN5204"</f>
        <v>CN5204</v>
      </c>
      <c r="C1667" s="10" t="s">
        <v>1647</v>
      </c>
    </row>
    <row r="1668" spans="1:3" s="10" customFormat="1" x14ac:dyDescent="0.25">
      <c r="A1668" s="10" t="str">
        <f>"0611862589050"</f>
        <v>0611862589050</v>
      </c>
      <c r="B1668" s="10" t="str">
        <f>"CR4325"</f>
        <v>CR4325</v>
      </c>
      <c r="C1668" s="10" t="s">
        <v>1648</v>
      </c>
    </row>
    <row r="1669" spans="1:3" s="10" customFormat="1" x14ac:dyDescent="0.25">
      <c r="A1669" s="10" t="str">
        <f>"0611862590100"</f>
        <v>0611862590100</v>
      </c>
      <c r="B1669" s="10" t="str">
        <f>"CN5205"</f>
        <v>CN5205</v>
      </c>
      <c r="C1669" s="10" t="s">
        <v>1649</v>
      </c>
    </row>
    <row r="1670" spans="1:3" s="10" customFormat="1" x14ac:dyDescent="0.25">
      <c r="A1670" s="10" t="str">
        <f>"0611862592100"</f>
        <v>0611862592100</v>
      </c>
      <c r="B1670" s="10" t="str">
        <f>"CN2373"</f>
        <v>CN2373</v>
      </c>
      <c r="C1670" s="10" t="s">
        <v>1650</v>
      </c>
    </row>
    <row r="1671" spans="1:3" s="10" customFormat="1" x14ac:dyDescent="0.25">
      <c r="A1671" s="10" t="str">
        <f>"0611884256050"</f>
        <v>0611884256050</v>
      </c>
      <c r="B1671" s="10" t="str">
        <f>"CR5260"</f>
        <v>CR5260</v>
      </c>
      <c r="C1671" s="10" t="s">
        <v>1651</v>
      </c>
    </row>
    <row r="1672" spans="1:3" s="10" customFormat="1" x14ac:dyDescent="0.25">
      <c r="A1672" s="10" t="str">
        <f>"0611862598050"</f>
        <v>0611862598050</v>
      </c>
      <c r="B1672" s="10" t="str">
        <f>"CR2402"</f>
        <v>CR2402</v>
      </c>
      <c r="C1672" s="10" t="s">
        <v>1652</v>
      </c>
    </row>
    <row r="1673" spans="1:3" s="10" customFormat="1" x14ac:dyDescent="0.25">
      <c r="A1673" s="10" t="str">
        <f>"0611862599050"</f>
        <v>0611862599050</v>
      </c>
      <c r="B1673" s="10" t="str">
        <f>"CR3093"</f>
        <v>CR3093</v>
      </c>
      <c r="C1673" s="10" t="s">
        <v>1653</v>
      </c>
    </row>
    <row r="1674" spans="1:3" s="10" customFormat="1" x14ac:dyDescent="0.25">
      <c r="A1674" s="10" t="str">
        <f>"0611862600050"</f>
        <v>0611862600050</v>
      </c>
      <c r="B1674" s="10" t="str">
        <f>"CR2403"</f>
        <v>CR2403</v>
      </c>
      <c r="C1674" s="10" t="s">
        <v>1654</v>
      </c>
    </row>
    <row r="1675" spans="1:3" s="10" customFormat="1" x14ac:dyDescent="0.25">
      <c r="A1675" s="10" t="str">
        <f>"0611862601050"</f>
        <v>0611862601050</v>
      </c>
      <c r="B1675" s="10" t="str">
        <f>"CR2404"</f>
        <v>CR2404</v>
      </c>
      <c r="C1675" s="10" t="s">
        <v>1655</v>
      </c>
    </row>
    <row r="1676" spans="1:3" s="10" customFormat="1" x14ac:dyDescent="0.25">
      <c r="A1676" s="10" t="str">
        <f>"0611862602050"</f>
        <v>0611862602050</v>
      </c>
      <c r="B1676" s="10" t="str">
        <f>"CR2711"</f>
        <v>CR2711</v>
      </c>
      <c r="C1676" s="10" t="s">
        <v>1656</v>
      </c>
    </row>
    <row r="1677" spans="1:3" s="10" customFormat="1" x14ac:dyDescent="0.25">
      <c r="A1677" s="10" t="str">
        <f>"0611862603050"</f>
        <v>0611862603050</v>
      </c>
      <c r="B1677" s="10" t="str">
        <f>"CR2406"</f>
        <v>CR2406</v>
      </c>
      <c r="C1677" s="10" t="s">
        <v>1657</v>
      </c>
    </row>
    <row r="1678" spans="1:3" s="10" customFormat="1" x14ac:dyDescent="0.25">
      <c r="A1678" s="10" t="str">
        <f>"0611862604050"</f>
        <v>0611862604050</v>
      </c>
      <c r="B1678" s="10" t="str">
        <f>"CR3703"</f>
        <v>CR3703</v>
      </c>
      <c r="C1678" s="10" t="s">
        <v>1658</v>
      </c>
    </row>
    <row r="1679" spans="1:3" s="10" customFormat="1" x14ac:dyDescent="0.25">
      <c r="A1679" s="10" t="str">
        <f>"0611862605050"</f>
        <v>0611862605050</v>
      </c>
      <c r="B1679" s="10" t="str">
        <f>"CR2407"</f>
        <v>CR2407</v>
      </c>
      <c r="C1679" s="10" t="s">
        <v>1659</v>
      </c>
    </row>
    <row r="1680" spans="1:3" s="10" customFormat="1" x14ac:dyDescent="0.25">
      <c r="A1680" s="10" t="str">
        <f>"0611862606050"</f>
        <v>0611862606050</v>
      </c>
      <c r="B1680" s="10" t="str">
        <f>"CR4078"</f>
        <v>CR4078</v>
      </c>
      <c r="C1680" s="10" t="s">
        <v>1660</v>
      </c>
    </row>
    <row r="1681" spans="1:3" s="10" customFormat="1" x14ac:dyDescent="0.25">
      <c r="A1681" s="10" t="str">
        <f>"0611893606050"</f>
        <v>0611893606050</v>
      </c>
      <c r="B1681" s="10" t="str">
        <f>"CR5405"</f>
        <v>CR5405</v>
      </c>
      <c r="C1681" s="10" t="s">
        <v>1661</v>
      </c>
    </row>
    <row r="1682" spans="1:3" s="10" customFormat="1" x14ac:dyDescent="0.25">
      <c r="A1682" s="10" t="str">
        <f>"0611862607050"</f>
        <v>0611862607050</v>
      </c>
      <c r="B1682" s="10" t="str">
        <f>"CR4079"</f>
        <v>CR4079</v>
      </c>
      <c r="C1682" s="10" t="s">
        <v>1662</v>
      </c>
    </row>
    <row r="1683" spans="1:3" s="10" customFormat="1" x14ac:dyDescent="0.25">
      <c r="A1683" s="10" t="str">
        <f>"0611862608050"</f>
        <v>0611862608050</v>
      </c>
      <c r="B1683" s="10" t="str">
        <f>"CR4878"</f>
        <v>CR4878</v>
      </c>
      <c r="C1683" s="10" t="s">
        <v>1663</v>
      </c>
    </row>
    <row r="1684" spans="1:3" s="10" customFormat="1" x14ac:dyDescent="0.25">
      <c r="A1684" s="10" t="str">
        <f>"0611862609050"</f>
        <v>0611862609050</v>
      </c>
      <c r="B1684" s="10" t="str">
        <f>"CR2408"</f>
        <v>CR2408</v>
      </c>
      <c r="C1684" s="10" t="s">
        <v>1664</v>
      </c>
    </row>
    <row r="1685" spans="1:3" s="10" customFormat="1" x14ac:dyDescent="0.25">
      <c r="A1685" s="10" t="str">
        <f>"0611862610050"</f>
        <v>0611862610050</v>
      </c>
      <c r="B1685" s="10" t="str">
        <f>"CR2409"</f>
        <v>CR2409</v>
      </c>
      <c r="C1685" s="10" t="s">
        <v>1665</v>
      </c>
    </row>
    <row r="1686" spans="1:3" s="10" customFormat="1" x14ac:dyDescent="0.25">
      <c r="A1686" s="10" t="str">
        <f>"0611862611050"</f>
        <v>0611862611050</v>
      </c>
      <c r="B1686" s="10" t="str">
        <f>"CR2410"</f>
        <v>CR2410</v>
      </c>
      <c r="C1686" s="10" t="s">
        <v>1666</v>
      </c>
    </row>
    <row r="1687" spans="1:3" s="10" customFormat="1" x14ac:dyDescent="0.25">
      <c r="A1687" s="10" t="str">
        <f>"0611862612050"</f>
        <v>0611862612050</v>
      </c>
      <c r="B1687" s="10" t="str">
        <f>"CR2964"</f>
        <v>CR2964</v>
      </c>
      <c r="C1687" s="10" t="s">
        <v>1667</v>
      </c>
    </row>
    <row r="1688" spans="1:3" s="10" customFormat="1" x14ac:dyDescent="0.25">
      <c r="A1688" s="10" t="str">
        <f>"0611862613050"</f>
        <v>0611862613050</v>
      </c>
      <c r="B1688" s="10" t="str">
        <f>"CR2411"</f>
        <v>CR2411</v>
      </c>
      <c r="C1688" s="10" t="s">
        <v>1668</v>
      </c>
    </row>
    <row r="1689" spans="1:3" s="10" customFormat="1" x14ac:dyDescent="0.25">
      <c r="A1689" s="10" t="str">
        <f>"0611884259050"</f>
        <v>0611884259050</v>
      </c>
      <c r="B1689" s="10" t="str">
        <f>"CR5412"</f>
        <v>CR5412</v>
      </c>
      <c r="C1689" s="10" t="s">
        <v>1669</v>
      </c>
    </row>
    <row r="1690" spans="1:3" s="10" customFormat="1" x14ac:dyDescent="0.25">
      <c r="A1690" s="10" t="str">
        <f>"0611862614050"</f>
        <v>0611862614050</v>
      </c>
      <c r="B1690" s="10" t="str">
        <f>"CR2412"</f>
        <v>CR2412</v>
      </c>
      <c r="C1690" s="10" t="s">
        <v>1670</v>
      </c>
    </row>
    <row r="1691" spans="1:3" s="10" customFormat="1" x14ac:dyDescent="0.25">
      <c r="A1691" s="10" t="str">
        <f>"0611893607050"</f>
        <v>0611893607050</v>
      </c>
      <c r="B1691" s="10" t="str">
        <f>"CR5445"</f>
        <v>CR5445</v>
      </c>
      <c r="C1691" s="10" t="s">
        <v>1671</v>
      </c>
    </row>
    <row r="1692" spans="1:3" s="10" customFormat="1" x14ac:dyDescent="0.25">
      <c r="A1692" s="10" t="str">
        <f>"0611862615050"</f>
        <v>0611862615050</v>
      </c>
      <c r="B1692" s="10" t="str">
        <f>"CR4080"</f>
        <v>CR4080</v>
      </c>
      <c r="C1692" s="10" t="s">
        <v>1672</v>
      </c>
    </row>
    <row r="1693" spans="1:3" s="10" customFormat="1" x14ac:dyDescent="0.25">
      <c r="A1693" s="10" t="str">
        <f>"0611862616050"</f>
        <v>0611862616050</v>
      </c>
      <c r="B1693" s="10" t="str">
        <f>"CR2712"</f>
        <v>CR2712</v>
      </c>
      <c r="C1693" s="10" t="s">
        <v>1673</v>
      </c>
    </row>
    <row r="1694" spans="1:3" s="10" customFormat="1" x14ac:dyDescent="0.25">
      <c r="A1694" s="10" t="str">
        <f>"0611862617050"</f>
        <v>0611862617050</v>
      </c>
      <c r="B1694" s="10" t="str">
        <f>"CR2413"</f>
        <v>CR2413</v>
      </c>
      <c r="C1694" s="10" t="s">
        <v>1674</v>
      </c>
    </row>
    <row r="1695" spans="1:3" s="10" customFormat="1" x14ac:dyDescent="0.25">
      <c r="A1695" s="10" t="str">
        <f>"0611862618050"</f>
        <v>0611862618050</v>
      </c>
      <c r="B1695" s="10" t="str">
        <f>"CR4835"</f>
        <v>CR4835</v>
      </c>
      <c r="C1695" s="10" t="s">
        <v>1675</v>
      </c>
    </row>
    <row r="1696" spans="1:3" s="10" customFormat="1" x14ac:dyDescent="0.25">
      <c r="A1696" s="10" t="str">
        <f>"0611862619050"</f>
        <v>0611862619050</v>
      </c>
      <c r="B1696" s="10" t="str">
        <f>"CR5197"</f>
        <v>CR5197</v>
      </c>
      <c r="C1696" s="10" t="s">
        <v>1676</v>
      </c>
    </row>
    <row r="1697" spans="1:3" s="10" customFormat="1" x14ac:dyDescent="0.25">
      <c r="A1697" s="10" t="str">
        <f>"0611862620050"</f>
        <v>0611862620050</v>
      </c>
      <c r="B1697" s="10" t="str">
        <f>"CR5198"</f>
        <v>CR5198</v>
      </c>
      <c r="C1697" s="10" t="s">
        <v>1677</v>
      </c>
    </row>
    <row r="1698" spans="1:3" s="10" customFormat="1" x14ac:dyDescent="0.25">
      <c r="A1698" s="10" t="str">
        <f>"0611862621050"</f>
        <v>0611862621050</v>
      </c>
      <c r="B1698" s="10" t="str">
        <f>"CR5199"</f>
        <v>CR5199</v>
      </c>
      <c r="C1698" s="10" t="s">
        <v>1678</v>
      </c>
    </row>
    <row r="1699" spans="1:3" s="10" customFormat="1" x14ac:dyDescent="0.25">
      <c r="A1699" s="10" t="str">
        <f>"0611862622050"</f>
        <v>0611862622050</v>
      </c>
      <c r="B1699" s="10" t="str">
        <f>"CR5200"</f>
        <v>CR5200</v>
      </c>
      <c r="C1699" s="10" t="s">
        <v>1679</v>
      </c>
    </row>
    <row r="1700" spans="1:3" s="10" customFormat="1" x14ac:dyDescent="0.25">
      <c r="A1700" s="10" t="str">
        <f>"0611862623050"</f>
        <v>0611862623050</v>
      </c>
      <c r="B1700" s="10" t="str">
        <f>"CR5201"</f>
        <v>CR5201</v>
      </c>
      <c r="C1700" s="10" t="s">
        <v>1680</v>
      </c>
    </row>
    <row r="1701" spans="1:3" s="10" customFormat="1" x14ac:dyDescent="0.25">
      <c r="A1701" s="10" t="str">
        <f>"0611862624050"</f>
        <v>0611862624050</v>
      </c>
      <c r="B1701" s="10" t="str">
        <f>"CR2414"</f>
        <v>CR2414</v>
      </c>
      <c r="C1701" s="10" t="s">
        <v>1681</v>
      </c>
    </row>
    <row r="1702" spans="1:3" s="10" customFormat="1" x14ac:dyDescent="0.25">
      <c r="A1702" s="10" t="str">
        <f>"0611862625050"</f>
        <v>0611862625050</v>
      </c>
      <c r="B1702" s="10" t="str">
        <f>"CR2415"</f>
        <v>CR2415</v>
      </c>
      <c r="C1702" s="10" t="s">
        <v>1682</v>
      </c>
    </row>
    <row r="1703" spans="1:3" s="10" customFormat="1" x14ac:dyDescent="0.25">
      <c r="A1703" s="10" t="str">
        <f>"0611862626050"</f>
        <v>0611862626050</v>
      </c>
      <c r="B1703" s="10" t="str">
        <f>"CR2416"</f>
        <v>CR2416</v>
      </c>
      <c r="C1703" s="10" t="s">
        <v>1683</v>
      </c>
    </row>
    <row r="1704" spans="1:3" s="10" customFormat="1" x14ac:dyDescent="0.25">
      <c r="A1704" s="10" t="str">
        <f>"0611862627050"</f>
        <v>0611862627050</v>
      </c>
      <c r="B1704" s="10" t="str">
        <f>"CR2870"</f>
        <v>CR2870</v>
      </c>
      <c r="C1704" s="10" t="s">
        <v>1684</v>
      </c>
    </row>
    <row r="1705" spans="1:3" s="10" customFormat="1" x14ac:dyDescent="0.25">
      <c r="A1705" s="10" t="str">
        <f>"0611862628050"</f>
        <v>0611862628050</v>
      </c>
      <c r="B1705" s="10" t="str">
        <f>"CR2713"</f>
        <v>CR2713</v>
      </c>
      <c r="C1705" s="10" t="s">
        <v>1685</v>
      </c>
    </row>
    <row r="1706" spans="1:3" s="10" customFormat="1" x14ac:dyDescent="0.25">
      <c r="A1706" s="10" t="str">
        <f>"0611862629050"</f>
        <v>0611862629050</v>
      </c>
      <c r="B1706" s="10" t="str">
        <f>"CR3361"</f>
        <v>CR3361</v>
      </c>
      <c r="C1706" s="10" t="s">
        <v>1686</v>
      </c>
    </row>
    <row r="1707" spans="1:3" s="10" customFormat="1" x14ac:dyDescent="0.25">
      <c r="A1707" s="10" t="str">
        <f>"0611862630050"</f>
        <v>0611862630050</v>
      </c>
      <c r="B1707" s="10" t="str">
        <f>"CR3300"</f>
        <v>CR3300</v>
      </c>
      <c r="C1707" s="10" t="s">
        <v>1687</v>
      </c>
    </row>
    <row r="1708" spans="1:3" s="10" customFormat="1" x14ac:dyDescent="0.25">
      <c r="A1708" s="10" t="str">
        <f>"0611862631050"</f>
        <v>0611862631050</v>
      </c>
      <c r="B1708" s="10" t="str">
        <f>"CR2417"</f>
        <v>CR2417</v>
      </c>
      <c r="C1708" s="10" t="s">
        <v>1688</v>
      </c>
    </row>
    <row r="1709" spans="1:3" s="10" customFormat="1" x14ac:dyDescent="0.25">
      <c r="A1709" s="10" t="str">
        <f>"0611862633050"</f>
        <v>0611862633050</v>
      </c>
      <c r="B1709" s="10" t="str">
        <f>"CR2419"</f>
        <v>CR2419</v>
      </c>
      <c r="C1709" s="10" t="s">
        <v>1689</v>
      </c>
    </row>
    <row r="1710" spans="1:3" s="10" customFormat="1" x14ac:dyDescent="0.25">
      <c r="A1710" s="10" t="str">
        <f>"0611862634050"</f>
        <v>0611862634050</v>
      </c>
      <c r="B1710" s="10" t="str">
        <f>"CR2420"</f>
        <v>CR2420</v>
      </c>
      <c r="C1710" s="10" t="s">
        <v>1690</v>
      </c>
    </row>
    <row r="1711" spans="1:3" s="10" customFormat="1" x14ac:dyDescent="0.25">
      <c r="A1711" s="10" t="str">
        <f>"0611862635050"</f>
        <v>0611862635050</v>
      </c>
      <c r="B1711" s="10" t="str">
        <f>"CR2421"</f>
        <v>CR2421</v>
      </c>
      <c r="C1711" s="10" t="s">
        <v>1691</v>
      </c>
    </row>
    <row r="1712" spans="1:3" s="10" customFormat="1" x14ac:dyDescent="0.25">
      <c r="A1712" s="10" t="str">
        <f>"0611862636050"</f>
        <v>0611862636050</v>
      </c>
      <c r="B1712" s="10" t="str">
        <f>"CR3268"</f>
        <v>CR3268</v>
      </c>
      <c r="C1712" s="10" t="s">
        <v>1692</v>
      </c>
    </row>
    <row r="1713" spans="1:3" s="10" customFormat="1" x14ac:dyDescent="0.25">
      <c r="A1713" s="10" t="str">
        <f>"0611862637050"</f>
        <v>0611862637050</v>
      </c>
      <c r="B1713" s="10" t="str">
        <f>"CR3212"</f>
        <v>CR3212</v>
      </c>
      <c r="C1713" s="10" t="s">
        <v>1693</v>
      </c>
    </row>
    <row r="1714" spans="1:3" s="10" customFormat="1" x14ac:dyDescent="0.25">
      <c r="A1714" s="10" t="str">
        <f>"0611862639050"</f>
        <v>0611862639050</v>
      </c>
      <c r="B1714" s="10" t="str">
        <f>"CR3365"</f>
        <v>CR3365</v>
      </c>
      <c r="C1714" s="10" t="s">
        <v>1694</v>
      </c>
    </row>
    <row r="1715" spans="1:3" s="10" customFormat="1" x14ac:dyDescent="0.25">
      <c r="A1715" s="10" t="str">
        <f>"0611862641050"</f>
        <v>0611862641050</v>
      </c>
      <c r="B1715" s="10" t="str">
        <f>"CR2423"</f>
        <v>CR2423</v>
      </c>
      <c r="C1715" s="10" t="s">
        <v>1695</v>
      </c>
    </row>
    <row r="1716" spans="1:3" s="10" customFormat="1" x14ac:dyDescent="0.25">
      <c r="A1716" s="10" t="str">
        <f>"0611862642050"</f>
        <v>0611862642050</v>
      </c>
      <c r="B1716" s="10" t="str">
        <f>"CR2715"</f>
        <v>CR2715</v>
      </c>
      <c r="C1716" s="10" t="s">
        <v>1696</v>
      </c>
    </row>
    <row r="1717" spans="1:3" s="10" customFormat="1" x14ac:dyDescent="0.25">
      <c r="A1717" s="10" t="str">
        <f>"0611862643050"</f>
        <v>0611862643050</v>
      </c>
      <c r="B1717" s="10" t="str">
        <f>"CR3211"</f>
        <v>CR3211</v>
      </c>
      <c r="C1717" s="10" t="s">
        <v>1697</v>
      </c>
    </row>
    <row r="1718" spans="1:3" s="10" customFormat="1" x14ac:dyDescent="0.25">
      <c r="A1718" s="10" t="str">
        <f>"0611862644050"</f>
        <v>0611862644050</v>
      </c>
      <c r="B1718" s="10" t="str">
        <f>"CR2424"</f>
        <v>CR2424</v>
      </c>
      <c r="C1718" s="10" t="s">
        <v>1698</v>
      </c>
    </row>
    <row r="1719" spans="1:3" s="10" customFormat="1" x14ac:dyDescent="0.25">
      <c r="A1719" s="10" t="str">
        <f>"0611862645050"</f>
        <v>0611862645050</v>
      </c>
      <c r="B1719" s="10" t="str">
        <f>"CR2871"</f>
        <v>CR2871</v>
      </c>
      <c r="C1719" s="10" t="s">
        <v>1699</v>
      </c>
    </row>
    <row r="1720" spans="1:3" s="10" customFormat="1" x14ac:dyDescent="0.25">
      <c r="A1720" s="10" t="str">
        <f>"0611862646050"</f>
        <v>0611862646050</v>
      </c>
      <c r="B1720" s="10" t="str">
        <f>"CR3195"</f>
        <v>CR3195</v>
      </c>
      <c r="C1720" s="10" t="s">
        <v>1700</v>
      </c>
    </row>
    <row r="1721" spans="1:3" s="10" customFormat="1" x14ac:dyDescent="0.25">
      <c r="A1721" s="10" t="str">
        <f>"0611862647050"</f>
        <v>0611862647050</v>
      </c>
      <c r="B1721" s="10" t="str">
        <f>"CR2873"</f>
        <v>CR2873</v>
      </c>
      <c r="C1721" s="10" t="s">
        <v>1701</v>
      </c>
    </row>
    <row r="1722" spans="1:3" s="10" customFormat="1" x14ac:dyDescent="0.25">
      <c r="A1722" s="10" t="str">
        <f>"0611862648050"</f>
        <v>0611862648050</v>
      </c>
      <c r="B1722" s="10" t="str">
        <f>"CR3328"</f>
        <v>CR3328</v>
      </c>
      <c r="C1722" s="10" t="s">
        <v>1702</v>
      </c>
    </row>
    <row r="1723" spans="1:3" s="10" customFormat="1" x14ac:dyDescent="0.25">
      <c r="A1723" s="10" t="str">
        <f>"0611862649050"</f>
        <v>0611862649050</v>
      </c>
      <c r="B1723" s="10" t="str">
        <f>"CR3539"</f>
        <v>CR3539</v>
      </c>
      <c r="C1723" s="10" t="s">
        <v>1703</v>
      </c>
    </row>
    <row r="1724" spans="1:3" s="10" customFormat="1" x14ac:dyDescent="0.25">
      <c r="A1724" s="10" t="str">
        <f>"0611862651050"</f>
        <v>0611862651050</v>
      </c>
      <c r="B1724" s="10" t="str">
        <f>"CR3337"</f>
        <v>CR3337</v>
      </c>
      <c r="C1724" s="10" t="s">
        <v>1704</v>
      </c>
    </row>
    <row r="1725" spans="1:3" s="10" customFormat="1" x14ac:dyDescent="0.25">
      <c r="A1725" s="10" t="str">
        <f>"0611862653050"</f>
        <v>0611862653050</v>
      </c>
      <c r="B1725" s="10" t="str">
        <f>"CR3094"</f>
        <v>CR3094</v>
      </c>
      <c r="C1725" s="10" t="s">
        <v>1705</v>
      </c>
    </row>
    <row r="1726" spans="1:3" s="10" customFormat="1" x14ac:dyDescent="0.25">
      <c r="A1726" s="10" t="str">
        <f>"0611862655050"</f>
        <v>0611862655050</v>
      </c>
      <c r="B1726" s="10" t="str">
        <f>"CR3096"</f>
        <v>CR3096</v>
      </c>
      <c r="C1726" s="10" t="s">
        <v>1706</v>
      </c>
    </row>
    <row r="1727" spans="1:3" s="10" customFormat="1" x14ac:dyDescent="0.25">
      <c r="A1727" s="10" t="str">
        <f>"0611862657050"</f>
        <v>0611862657050</v>
      </c>
      <c r="B1727" s="10" t="str">
        <f>"CR3543"</f>
        <v>CR3543</v>
      </c>
      <c r="C1727" s="10" t="s">
        <v>1708</v>
      </c>
    </row>
    <row r="1728" spans="1:3" s="10" customFormat="1" x14ac:dyDescent="0.25">
      <c r="A1728" s="10" t="str">
        <f>"0611862656050"</f>
        <v>0611862656050</v>
      </c>
      <c r="B1728" s="10" t="str">
        <f>"CR3097"</f>
        <v>CR3097</v>
      </c>
      <c r="C1728" s="10" t="s">
        <v>1707</v>
      </c>
    </row>
    <row r="1729" spans="1:3" s="10" customFormat="1" x14ac:dyDescent="0.25">
      <c r="A1729" s="10" t="str">
        <f>"0611862658050"</f>
        <v>0611862658050</v>
      </c>
      <c r="B1729" s="10" t="str">
        <f>"CR3098"</f>
        <v>CR3098</v>
      </c>
      <c r="C1729" s="10" t="s">
        <v>1709</v>
      </c>
    </row>
    <row r="1730" spans="1:3" s="10" customFormat="1" x14ac:dyDescent="0.25">
      <c r="A1730" s="10" t="str">
        <f>"0611862660050"</f>
        <v>0611862660050</v>
      </c>
      <c r="B1730" s="10" t="str">
        <f>"CR3099"</f>
        <v>CR3099</v>
      </c>
      <c r="C1730" s="10" t="s">
        <v>1710</v>
      </c>
    </row>
    <row r="1731" spans="1:3" s="10" customFormat="1" x14ac:dyDescent="0.25">
      <c r="A1731" s="10" t="str">
        <f>"0611884260050"</f>
        <v>0611884260050</v>
      </c>
      <c r="B1731" s="10" t="str">
        <f>"CR5423"</f>
        <v>CR5423</v>
      </c>
      <c r="C1731" s="10" t="s">
        <v>1711</v>
      </c>
    </row>
    <row r="1732" spans="1:3" s="10" customFormat="1" x14ac:dyDescent="0.25">
      <c r="A1732" s="10" t="str">
        <f>"0611862661050"</f>
        <v>0611862661050</v>
      </c>
      <c r="B1732" s="10" t="str">
        <f>"CR3892"</f>
        <v>CR3892</v>
      </c>
      <c r="C1732" s="10" t="s">
        <v>1712</v>
      </c>
    </row>
    <row r="1733" spans="1:3" s="10" customFormat="1" x14ac:dyDescent="0.25">
      <c r="A1733" s="10" t="str">
        <f>"0611862662050"</f>
        <v>0611862662050</v>
      </c>
      <c r="B1733" s="10" t="str">
        <f>"CR5202"</f>
        <v>CR5202</v>
      </c>
      <c r="C1733" s="10" t="s">
        <v>1713</v>
      </c>
    </row>
    <row r="1734" spans="1:3" s="10" customFormat="1" x14ac:dyDescent="0.25">
      <c r="A1734" s="10" t="str">
        <f>"0611862664050"</f>
        <v>0611862664050</v>
      </c>
      <c r="B1734" s="10" t="str">
        <f>"CR3101"</f>
        <v>CR3101</v>
      </c>
      <c r="C1734" s="10" t="s">
        <v>1714</v>
      </c>
    </row>
    <row r="1735" spans="1:3" s="10" customFormat="1" x14ac:dyDescent="0.25">
      <c r="A1735" s="10" t="str">
        <f>"0611862665050"</f>
        <v>0611862665050</v>
      </c>
      <c r="B1735" s="10" t="str">
        <f>"CR2429"</f>
        <v>CR2429</v>
      </c>
      <c r="C1735" s="10" t="s">
        <v>1715</v>
      </c>
    </row>
    <row r="1736" spans="1:3" s="10" customFormat="1" x14ac:dyDescent="0.25">
      <c r="A1736" s="10" t="str">
        <f>"0611862666050"</f>
        <v>0611862666050</v>
      </c>
      <c r="B1736" s="10" t="str">
        <f>"CR4974"</f>
        <v>CR4974</v>
      </c>
      <c r="C1736" s="10" t="s">
        <v>1716</v>
      </c>
    </row>
    <row r="1737" spans="1:3" s="10" customFormat="1" x14ac:dyDescent="0.25">
      <c r="A1737" s="10" t="str">
        <f>"0611862667050"</f>
        <v>0611862667050</v>
      </c>
      <c r="B1737" s="10" t="str">
        <f>"CR5203"</f>
        <v>CR5203</v>
      </c>
      <c r="C1737" s="10" t="s">
        <v>1717</v>
      </c>
    </row>
    <row r="1738" spans="1:3" s="10" customFormat="1" x14ac:dyDescent="0.25">
      <c r="A1738" s="10" t="str">
        <f>"0611862669050"</f>
        <v>0611862669050</v>
      </c>
      <c r="B1738" s="10" t="str">
        <f>"CR3102"</f>
        <v>CR3102</v>
      </c>
      <c r="C1738" s="10" t="s">
        <v>1718</v>
      </c>
    </row>
    <row r="1739" spans="1:3" s="10" customFormat="1" x14ac:dyDescent="0.25">
      <c r="A1739" s="10" t="str">
        <f>"0611884261050"</f>
        <v>0611884261050</v>
      </c>
      <c r="B1739" s="10" t="str">
        <f>"CR5289"</f>
        <v>CR5289</v>
      </c>
      <c r="C1739" s="10" t="s">
        <v>1722</v>
      </c>
    </row>
    <row r="1740" spans="1:3" s="10" customFormat="1" x14ac:dyDescent="0.25">
      <c r="A1740" s="10" t="str">
        <f>"0611862670050"</f>
        <v>0611862670050</v>
      </c>
      <c r="B1740" s="10" t="str">
        <f>"CR3103"</f>
        <v>CR3103</v>
      </c>
      <c r="C1740" s="10" t="s">
        <v>1719</v>
      </c>
    </row>
    <row r="1741" spans="1:3" s="10" customFormat="1" x14ac:dyDescent="0.25">
      <c r="A1741" s="10" t="str">
        <f>"0611862672050"</f>
        <v>0611862672050</v>
      </c>
      <c r="B1741" s="10" t="str">
        <f>"CR3898"</f>
        <v>CR3898</v>
      </c>
      <c r="C1741" s="10" t="s">
        <v>1720</v>
      </c>
    </row>
    <row r="1742" spans="1:3" s="10" customFormat="1" x14ac:dyDescent="0.25">
      <c r="A1742" s="10" t="str">
        <f>"0611862674050"</f>
        <v>0611862674050</v>
      </c>
      <c r="B1742" s="10" t="str">
        <f>"CR5204"</f>
        <v>CR5204</v>
      </c>
      <c r="C1742" s="10" t="s">
        <v>1721</v>
      </c>
    </row>
    <row r="1743" spans="1:3" s="10" customFormat="1" x14ac:dyDescent="0.25">
      <c r="A1743" s="10" t="str">
        <f>"0611862677050"</f>
        <v>0611862677050</v>
      </c>
      <c r="B1743" s="10" t="str">
        <f>"CR2432"</f>
        <v>CR2432</v>
      </c>
      <c r="C1743" s="10" t="s">
        <v>1725</v>
      </c>
    </row>
    <row r="1744" spans="1:3" s="10" customFormat="1" x14ac:dyDescent="0.25">
      <c r="A1744" s="10" t="str">
        <f>"0611862676050"</f>
        <v>0611862676050</v>
      </c>
      <c r="B1744" s="10" t="str">
        <f>"CR4836"</f>
        <v>CR4836</v>
      </c>
      <c r="C1744" s="10" t="s">
        <v>1724</v>
      </c>
    </row>
    <row r="1745" spans="1:3" s="10" customFormat="1" x14ac:dyDescent="0.25">
      <c r="A1745" s="10" t="str">
        <f>"0611862675050"</f>
        <v>0611862675050</v>
      </c>
      <c r="B1745" s="10" t="str">
        <f>"CR3108"</f>
        <v>CR3108</v>
      </c>
      <c r="C1745" s="10" t="s">
        <v>1723</v>
      </c>
    </row>
    <row r="1746" spans="1:3" s="10" customFormat="1" x14ac:dyDescent="0.25">
      <c r="A1746" s="10" t="str">
        <f>"0611862678050"</f>
        <v>0611862678050</v>
      </c>
      <c r="B1746" s="10" t="str">
        <f>"CR3109"</f>
        <v>CR3109</v>
      </c>
      <c r="C1746" s="10" t="s">
        <v>1726</v>
      </c>
    </row>
    <row r="1747" spans="1:3" s="10" customFormat="1" x14ac:dyDescent="0.25">
      <c r="A1747" s="10" t="str">
        <f>"0611862679050"</f>
        <v>0611862679050</v>
      </c>
      <c r="B1747" s="10" t="str">
        <f>"CR2967"</f>
        <v>CR2967</v>
      </c>
      <c r="C1747" s="10" t="s">
        <v>1727</v>
      </c>
    </row>
    <row r="1748" spans="1:3" s="10" customFormat="1" x14ac:dyDescent="0.25">
      <c r="A1748" s="10" t="str">
        <f>"0611862680050"</f>
        <v>0611862680050</v>
      </c>
      <c r="B1748" s="10" t="str">
        <f>"CR3110"</f>
        <v>CR3110</v>
      </c>
      <c r="C1748" s="10" t="s">
        <v>1728</v>
      </c>
    </row>
    <row r="1749" spans="1:3" s="10" customFormat="1" x14ac:dyDescent="0.25">
      <c r="A1749" s="10" t="str">
        <f>"0611862682050"</f>
        <v>0611862682050</v>
      </c>
      <c r="B1749" s="10" t="str">
        <f>"CR3112"</f>
        <v>CR3112</v>
      </c>
      <c r="C1749" s="10" t="s">
        <v>1729</v>
      </c>
    </row>
    <row r="1750" spans="1:3" s="10" customFormat="1" x14ac:dyDescent="0.25">
      <c r="A1750" s="10" t="str">
        <f>"0611862684050"</f>
        <v>0611862684050</v>
      </c>
      <c r="B1750" s="10" t="str">
        <f>"CR3964"</f>
        <v>CR3964</v>
      </c>
      <c r="C1750" s="10" t="s">
        <v>1730</v>
      </c>
    </row>
    <row r="1751" spans="1:3" s="10" customFormat="1" x14ac:dyDescent="0.25">
      <c r="A1751" s="10" t="str">
        <f>"0611884262050"</f>
        <v>0611884262050</v>
      </c>
      <c r="B1751" s="10" t="str">
        <f>"CR5413"</f>
        <v>CR5413</v>
      </c>
      <c r="C1751" s="10" t="s">
        <v>1731</v>
      </c>
    </row>
    <row r="1752" spans="1:3" s="10" customFormat="1" x14ac:dyDescent="0.25">
      <c r="A1752" s="10" t="str">
        <f>"0611862685050"</f>
        <v>0611862685050</v>
      </c>
      <c r="B1752" s="10" t="str">
        <f>"CR3113"</f>
        <v>CR3113</v>
      </c>
      <c r="C1752" s="10" t="s">
        <v>1732</v>
      </c>
    </row>
    <row r="1753" spans="1:3" s="10" customFormat="1" x14ac:dyDescent="0.25">
      <c r="A1753" s="10" t="str">
        <f>"0611893608050"</f>
        <v>0611893608050</v>
      </c>
      <c r="B1753" s="10" t="str">
        <f>"CR5446"</f>
        <v>CR5446</v>
      </c>
      <c r="C1753" s="10" t="s">
        <v>1733</v>
      </c>
    </row>
    <row r="1754" spans="1:3" s="10" customFormat="1" x14ac:dyDescent="0.25">
      <c r="A1754" s="10" t="str">
        <f>"0611862686050"</f>
        <v>0611862686050</v>
      </c>
      <c r="B1754" s="10" t="str">
        <f>"CR2426"</f>
        <v>CR2426</v>
      </c>
      <c r="C1754" s="10" t="s">
        <v>1734</v>
      </c>
    </row>
    <row r="1755" spans="1:3" s="10" customFormat="1" x14ac:dyDescent="0.25">
      <c r="A1755" s="10" t="str">
        <f>"0611862687050"</f>
        <v>0611862687050</v>
      </c>
      <c r="B1755" s="10" t="str">
        <f>"CR3363"</f>
        <v>CR3363</v>
      </c>
      <c r="C1755" s="10" t="s">
        <v>1735</v>
      </c>
    </row>
    <row r="1756" spans="1:3" s="10" customFormat="1" x14ac:dyDescent="0.25">
      <c r="A1756" s="10" t="str">
        <f>"0611862688050"</f>
        <v>0611862688050</v>
      </c>
      <c r="B1756" s="10" t="str">
        <f>"CR2718"</f>
        <v>CR2718</v>
      </c>
      <c r="C1756" s="10" t="s">
        <v>1736</v>
      </c>
    </row>
    <row r="1757" spans="1:3" s="10" customFormat="1" x14ac:dyDescent="0.25">
      <c r="A1757" s="10" t="str">
        <f>"0611862689050"</f>
        <v>0611862689050</v>
      </c>
      <c r="B1757" s="10" t="str">
        <f>"CR2427"</f>
        <v>CR2427</v>
      </c>
      <c r="C1757" s="10" t="s">
        <v>1737</v>
      </c>
    </row>
    <row r="1758" spans="1:3" s="10" customFormat="1" x14ac:dyDescent="0.25">
      <c r="A1758" s="10" t="str">
        <f>"0611862690050"</f>
        <v>0611862690050</v>
      </c>
      <c r="B1758" s="10" t="str">
        <f>"CR4838"</f>
        <v>CR4838</v>
      </c>
      <c r="C1758" s="10" t="s">
        <v>3020</v>
      </c>
    </row>
    <row r="1759" spans="1:3" s="10" customFormat="1" x14ac:dyDescent="0.25">
      <c r="A1759" s="10" t="str">
        <f>"0611884263050"</f>
        <v>0611884263050</v>
      </c>
      <c r="B1759" s="10" t="str">
        <f>"CR5382"</f>
        <v>CR5382</v>
      </c>
      <c r="C1759" s="10" t="s">
        <v>1738</v>
      </c>
    </row>
    <row r="1760" spans="1:3" s="10" customFormat="1" x14ac:dyDescent="0.25">
      <c r="A1760" s="10" t="str">
        <f>"0611906575050"</f>
        <v>0611906575050</v>
      </c>
      <c r="B1760" s="10" t="str">
        <f>"CR5495"</f>
        <v>CR5495</v>
      </c>
      <c r="C1760" s="10" t="s">
        <v>1739</v>
      </c>
    </row>
    <row r="1761" spans="1:3" s="10" customFormat="1" x14ac:dyDescent="0.25">
      <c r="A1761" s="10" t="str">
        <f>"0611862691050"</f>
        <v>0611862691050</v>
      </c>
      <c r="B1761" s="10" t="str">
        <f>"CR3894"</f>
        <v>CR3894</v>
      </c>
      <c r="C1761" s="10" t="s">
        <v>3021</v>
      </c>
    </row>
    <row r="1762" spans="1:3" s="10" customFormat="1" x14ac:dyDescent="0.25">
      <c r="A1762" s="10" t="str">
        <f>"0611884264050"</f>
        <v>0611884264050</v>
      </c>
      <c r="B1762" s="10" t="str">
        <f>"CR5414"</f>
        <v>CR5414</v>
      </c>
      <c r="C1762" s="10" t="s">
        <v>1740</v>
      </c>
    </row>
    <row r="1763" spans="1:3" s="10" customFormat="1" x14ac:dyDescent="0.25">
      <c r="A1763" s="10" t="str">
        <f>"0611862692050"</f>
        <v>0611862692050</v>
      </c>
      <c r="B1763" s="10" t="str">
        <f>"CR5205"</f>
        <v>CR5205</v>
      </c>
      <c r="C1763" s="10" t="s">
        <v>3022</v>
      </c>
    </row>
    <row r="1764" spans="1:3" s="10" customFormat="1" x14ac:dyDescent="0.25">
      <c r="A1764" s="10" t="str">
        <f>"0611862693050"</f>
        <v>0611862693050</v>
      </c>
      <c r="B1764" s="10" t="str">
        <f>"CR4839"</f>
        <v>CR4839</v>
      </c>
      <c r="C1764" s="10" t="s">
        <v>3023</v>
      </c>
    </row>
    <row r="1765" spans="1:3" s="10" customFormat="1" x14ac:dyDescent="0.25">
      <c r="A1765" s="10" t="str">
        <f>"0611862694050"</f>
        <v>0611862694050</v>
      </c>
      <c r="B1765" s="10" t="str">
        <f>"CR4840"</f>
        <v>CR4840</v>
      </c>
      <c r="C1765" s="10" t="s">
        <v>3024</v>
      </c>
    </row>
    <row r="1766" spans="1:3" s="10" customFormat="1" x14ac:dyDescent="0.25">
      <c r="A1766" s="10" t="str">
        <f>"0611862695050"</f>
        <v>0611862695050</v>
      </c>
      <c r="B1766" s="10" t="str">
        <f>"CR4837"</f>
        <v>CR4837</v>
      </c>
      <c r="C1766" s="10" t="s">
        <v>3025</v>
      </c>
    </row>
    <row r="1767" spans="1:3" s="10" customFormat="1" x14ac:dyDescent="0.25">
      <c r="A1767" s="10" t="str">
        <f>"0611862696050"</f>
        <v>0611862696050</v>
      </c>
      <c r="B1767" s="10" t="str">
        <f>"CR4841"</f>
        <v>CR4841</v>
      </c>
      <c r="C1767" s="10" t="s">
        <v>3026</v>
      </c>
    </row>
    <row r="1768" spans="1:3" s="10" customFormat="1" x14ac:dyDescent="0.25">
      <c r="A1768" s="10" t="str">
        <f>"0611862707050"</f>
        <v>0611862707050</v>
      </c>
      <c r="B1768" s="10" t="str">
        <f>"CR4906"</f>
        <v>CR4906</v>
      </c>
      <c r="C1768" s="10" t="s">
        <v>1741</v>
      </c>
    </row>
    <row r="1769" spans="1:3" s="10" customFormat="1" x14ac:dyDescent="0.25">
      <c r="A1769" s="10" t="str">
        <f>"0611862708050"</f>
        <v>0611862708050</v>
      </c>
      <c r="B1769" s="10" t="str">
        <f>"CR3776"</f>
        <v>CR3776</v>
      </c>
      <c r="C1769" s="10" t="s">
        <v>1742</v>
      </c>
    </row>
    <row r="1770" spans="1:3" s="10" customFormat="1" x14ac:dyDescent="0.25">
      <c r="A1770" s="10" t="str">
        <f>"0611862709050"</f>
        <v>0611862709050</v>
      </c>
      <c r="B1770" s="10" t="str">
        <f>"CR3777"</f>
        <v>CR3777</v>
      </c>
      <c r="C1770" s="10" t="s">
        <v>1743</v>
      </c>
    </row>
    <row r="1771" spans="1:3" s="10" customFormat="1" x14ac:dyDescent="0.25">
      <c r="A1771" s="10" t="str">
        <f>"0611862710050"</f>
        <v>0611862710050</v>
      </c>
      <c r="B1771" s="10" t="str">
        <f>"CR3778"</f>
        <v>CR3778</v>
      </c>
      <c r="C1771" s="10" t="s">
        <v>1744</v>
      </c>
    </row>
    <row r="1772" spans="1:3" s="10" customFormat="1" x14ac:dyDescent="0.25">
      <c r="A1772" s="10" t="str">
        <f>"0611884265050"</f>
        <v>0611884265050</v>
      </c>
      <c r="B1772" s="10" t="str">
        <f>"CR5309"</f>
        <v>CR5309</v>
      </c>
      <c r="C1772" s="10" t="s">
        <v>1745</v>
      </c>
    </row>
    <row r="1773" spans="1:3" s="10" customFormat="1" x14ac:dyDescent="0.25">
      <c r="A1773" s="10" t="str">
        <f>"0611862711050"</f>
        <v>0611862711050</v>
      </c>
      <c r="B1773" s="10" t="str">
        <f>"CR3780"</f>
        <v>CR3780</v>
      </c>
      <c r="C1773" s="10" t="s">
        <v>1746</v>
      </c>
    </row>
    <row r="1774" spans="1:3" s="10" customFormat="1" x14ac:dyDescent="0.25">
      <c r="A1774" s="10" t="str">
        <f>"0611884266050"</f>
        <v>0611884266050</v>
      </c>
      <c r="B1774" s="10" t="str">
        <f>"CR5310"</f>
        <v>CR5310</v>
      </c>
      <c r="C1774" s="10" t="s">
        <v>1747</v>
      </c>
    </row>
    <row r="1775" spans="1:3" s="10" customFormat="1" x14ac:dyDescent="0.25">
      <c r="A1775" s="10" t="str">
        <f>"0611862713050"</f>
        <v>0611862713050</v>
      </c>
      <c r="B1775" s="10" t="str">
        <f>"CR2591"</f>
        <v>CR2591</v>
      </c>
      <c r="C1775" s="10" t="s">
        <v>1748</v>
      </c>
    </row>
    <row r="1776" spans="1:3" s="10" customFormat="1" x14ac:dyDescent="0.25">
      <c r="A1776" s="10" t="str">
        <f>"0611862714050"</f>
        <v>0611862714050</v>
      </c>
      <c r="B1776" s="10" t="str">
        <f>"CR3541"</f>
        <v>CR3541</v>
      </c>
      <c r="C1776" s="10" t="s">
        <v>1749</v>
      </c>
    </row>
    <row r="1777" spans="1:3" s="10" customFormat="1" x14ac:dyDescent="0.25">
      <c r="A1777" s="10" t="str">
        <f>"0611862715050"</f>
        <v>0611862715050</v>
      </c>
      <c r="B1777" s="10" t="str">
        <f>"CR3782"</f>
        <v>CR3782</v>
      </c>
      <c r="C1777" s="10" t="s">
        <v>1750</v>
      </c>
    </row>
    <row r="1778" spans="1:3" s="10" customFormat="1" x14ac:dyDescent="0.25">
      <c r="A1778" s="10" t="str">
        <f>"0611862717050"</f>
        <v>0611862717050</v>
      </c>
      <c r="B1778" s="10" t="str">
        <f>"CR3959"</f>
        <v>CR3959</v>
      </c>
      <c r="C1778" s="10" t="s">
        <v>1751</v>
      </c>
    </row>
    <row r="1779" spans="1:3" s="10" customFormat="1" x14ac:dyDescent="0.25">
      <c r="A1779" s="10" t="str">
        <f>"0611862718050"</f>
        <v>0611862718050</v>
      </c>
      <c r="B1779" s="10" t="str">
        <f>"CR3960"</f>
        <v>CR3960</v>
      </c>
      <c r="C1779" s="10" t="s">
        <v>1752</v>
      </c>
    </row>
    <row r="1780" spans="1:3" s="10" customFormat="1" x14ac:dyDescent="0.25">
      <c r="A1780" s="10" t="str">
        <f>"0611862719050"</f>
        <v>0611862719050</v>
      </c>
      <c r="B1780" s="10" t="str">
        <f>"CR3961"</f>
        <v>CR3961</v>
      </c>
      <c r="C1780" s="10" t="s">
        <v>1753</v>
      </c>
    </row>
    <row r="1781" spans="1:3" s="10" customFormat="1" x14ac:dyDescent="0.25">
      <c r="A1781" s="10" t="str">
        <f>"0611862720050"</f>
        <v>0611862720050</v>
      </c>
      <c r="B1781" s="10" t="str">
        <f>"CR3962"</f>
        <v>CR3962</v>
      </c>
      <c r="C1781" s="10" t="s">
        <v>1754</v>
      </c>
    </row>
    <row r="1782" spans="1:3" s="10" customFormat="1" x14ac:dyDescent="0.25">
      <c r="A1782" s="10" t="str">
        <f>"0611862721050"</f>
        <v>0611862721050</v>
      </c>
      <c r="B1782" s="10" t="str">
        <f>"CR4106"</f>
        <v>CR4106</v>
      </c>
      <c r="C1782" s="10" t="s">
        <v>1755</v>
      </c>
    </row>
    <row r="1783" spans="1:3" s="10" customFormat="1" x14ac:dyDescent="0.25">
      <c r="A1783" s="10" t="str">
        <f>"0611862722050"</f>
        <v>0611862722050</v>
      </c>
      <c r="B1783" s="10" t="str">
        <f>"CR4655"</f>
        <v>CR4655</v>
      </c>
      <c r="C1783" s="10" t="s">
        <v>1756</v>
      </c>
    </row>
    <row r="1784" spans="1:3" s="10" customFormat="1" x14ac:dyDescent="0.25">
      <c r="A1784" s="10" t="str">
        <f>"0611862723050"</f>
        <v>0611862723050</v>
      </c>
      <c r="B1784" s="10" t="str">
        <f>"CR2594"</f>
        <v>CR2594</v>
      </c>
      <c r="C1784" s="10" t="s">
        <v>1757</v>
      </c>
    </row>
    <row r="1785" spans="1:3" s="10" customFormat="1" x14ac:dyDescent="0.25">
      <c r="A1785" s="10" t="str">
        <f>"0611862724050"</f>
        <v>0611862724050</v>
      </c>
      <c r="B1785" s="10" t="str">
        <f>"CR2596"</f>
        <v>CR2596</v>
      </c>
      <c r="C1785" s="10" t="s">
        <v>1758</v>
      </c>
    </row>
    <row r="1786" spans="1:3" s="10" customFormat="1" x14ac:dyDescent="0.25">
      <c r="A1786" s="10" t="str">
        <f>"0611862725050"</f>
        <v>0611862725050</v>
      </c>
      <c r="B1786" s="10" t="str">
        <f>"CR2597"</f>
        <v>CR2597</v>
      </c>
      <c r="C1786" s="10" t="s">
        <v>1759</v>
      </c>
    </row>
    <row r="1787" spans="1:3" s="10" customFormat="1" x14ac:dyDescent="0.25">
      <c r="A1787" s="10" t="str">
        <f>"0611862726050"</f>
        <v>0611862726050</v>
      </c>
      <c r="B1787" s="10" t="str">
        <f>"CR3781"</f>
        <v>CR3781</v>
      </c>
      <c r="C1787" s="10" t="s">
        <v>1760</v>
      </c>
    </row>
    <row r="1788" spans="1:3" s="10" customFormat="1" x14ac:dyDescent="0.25">
      <c r="A1788" s="10" t="str">
        <f>"0611862727050"</f>
        <v>0611862727050</v>
      </c>
      <c r="B1788" s="10" t="str">
        <f>"CR2599"</f>
        <v>CR2599</v>
      </c>
      <c r="C1788" s="10" t="s">
        <v>1761</v>
      </c>
    </row>
    <row r="1789" spans="1:3" s="10" customFormat="1" x14ac:dyDescent="0.25">
      <c r="A1789" s="10" t="str">
        <f>"0611862728050"</f>
        <v>0611862728050</v>
      </c>
      <c r="B1789" s="10" t="str">
        <f>"CR2965"</f>
        <v>CR2965</v>
      </c>
      <c r="C1789" s="10" t="s">
        <v>1762</v>
      </c>
    </row>
    <row r="1790" spans="1:3" s="10" customFormat="1" x14ac:dyDescent="0.25">
      <c r="A1790" s="10" t="str">
        <f>"0611862729050"</f>
        <v>0611862729050</v>
      </c>
      <c r="B1790" s="10" t="str">
        <f>"CR2600"</f>
        <v>CR2600</v>
      </c>
      <c r="C1790" s="10" t="s">
        <v>1763</v>
      </c>
    </row>
    <row r="1791" spans="1:3" s="10" customFormat="1" x14ac:dyDescent="0.25">
      <c r="A1791" s="10" t="str">
        <f>"0611862730050"</f>
        <v>0611862730050</v>
      </c>
      <c r="B1791" s="10" t="str">
        <f>"CR2601"</f>
        <v>CR2601</v>
      </c>
      <c r="C1791" s="10" t="s">
        <v>1764</v>
      </c>
    </row>
    <row r="1792" spans="1:3" s="10" customFormat="1" x14ac:dyDescent="0.25">
      <c r="A1792" s="10" t="str">
        <f>"0611862738050"</f>
        <v>0611862738050</v>
      </c>
      <c r="B1792" s="10" t="str">
        <f>"CR2604"</f>
        <v>CR2604</v>
      </c>
      <c r="C1792" s="10" t="s">
        <v>1765</v>
      </c>
    </row>
    <row r="1793" spans="1:3" s="10" customFormat="1" x14ac:dyDescent="0.25">
      <c r="A1793" s="10" t="str">
        <f>"0611862781050"</f>
        <v>0611862781050</v>
      </c>
      <c r="B1793" s="10" t="str">
        <f>"CR3895"</f>
        <v>CR3895</v>
      </c>
      <c r="C1793" s="10" t="s">
        <v>1766</v>
      </c>
    </row>
    <row r="1794" spans="1:3" s="10" customFormat="1" x14ac:dyDescent="0.25">
      <c r="A1794" s="10" t="str">
        <f>"0611862782050"</f>
        <v>0611862782050</v>
      </c>
      <c r="B1794" s="10" t="str">
        <f>"CR2428"</f>
        <v>CR2428</v>
      </c>
      <c r="C1794" s="10" t="s">
        <v>1767</v>
      </c>
    </row>
    <row r="1795" spans="1:3" s="10" customFormat="1" x14ac:dyDescent="0.25">
      <c r="A1795" s="10" t="str">
        <f>"0611862784050"</f>
        <v>0611862784050</v>
      </c>
      <c r="B1795" s="10" t="str">
        <f>"CR3545"</f>
        <v>CR3545</v>
      </c>
      <c r="C1795" s="10" t="s">
        <v>1768</v>
      </c>
    </row>
    <row r="1796" spans="1:3" s="10" customFormat="1" x14ac:dyDescent="0.25">
      <c r="A1796" s="10" t="str">
        <f>"0611862788050"</f>
        <v>0611862788050</v>
      </c>
      <c r="B1796" s="10" t="str">
        <f>"CR3963"</f>
        <v>CR3963</v>
      </c>
      <c r="C1796" s="10" t="s">
        <v>1769</v>
      </c>
    </row>
    <row r="1797" spans="1:3" s="10" customFormat="1" x14ac:dyDescent="0.25">
      <c r="A1797" s="10" t="str">
        <f>"0611862789050"</f>
        <v>0611862789050</v>
      </c>
      <c r="B1797" s="10" t="str">
        <f>"CR2966"</f>
        <v>CR2966</v>
      </c>
      <c r="C1797" s="10" t="s">
        <v>1770</v>
      </c>
    </row>
    <row r="1798" spans="1:3" s="10" customFormat="1" x14ac:dyDescent="0.25">
      <c r="A1798" s="10" t="str">
        <f>"0611862790050"</f>
        <v>0611862790050</v>
      </c>
      <c r="B1798" s="10" t="str">
        <f>"CR2434"</f>
        <v>CR2434</v>
      </c>
      <c r="C1798" s="10" t="s">
        <v>1771</v>
      </c>
    </row>
    <row r="1799" spans="1:3" s="10" customFormat="1" x14ac:dyDescent="0.25">
      <c r="A1799" s="10" t="str">
        <f>"0611862791050"</f>
        <v>0611862791050</v>
      </c>
      <c r="B1799" s="10" t="str">
        <f>"CR2435"</f>
        <v>CR2435</v>
      </c>
      <c r="C1799" s="10" t="s">
        <v>1772</v>
      </c>
    </row>
    <row r="1800" spans="1:3" s="10" customFormat="1" x14ac:dyDescent="0.25">
      <c r="A1800" s="10" t="str">
        <f>"0611862792050"</f>
        <v>0611862792050</v>
      </c>
      <c r="B1800" s="10" t="str">
        <f>"CR2436"</f>
        <v>CR2436</v>
      </c>
      <c r="C1800" s="10" t="s">
        <v>1773</v>
      </c>
    </row>
    <row r="1801" spans="1:3" s="10" customFormat="1" x14ac:dyDescent="0.25">
      <c r="A1801" s="10" t="str">
        <f>"0611862793050"</f>
        <v>0611862793050</v>
      </c>
      <c r="B1801" s="10" t="str">
        <f>"CR2437"</f>
        <v>CR2437</v>
      </c>
      <c r="C1801" s="10" t="s">
        <v>1774</v>
      </c>
    </row>
    <row r="1802" spans="1:3" s="10" customFormat="1" x14ac:dyDescent="0.25">
      <c r="A1802" s="10" t="str">
        <f>"0611862794050"</f>
        <v>0611862794050</v>
      </c>
      <c r="B1802" s="10" t="str">
        <f>"CR3546"</f>
        <v>CR3546</v>
      </c>
      <c r="C1802" s="10" t="s">
        <v>1775</v>
      </c>
    </row>
    <row r="1803" spans="1:3" s="10" customFormat="1" x14ac:dyDescent="0.25">
      <c r="A1803" s="10" t="str">
        <f>"0611862795050"</f>
        <v>0611862795050</v>
      </c>
      <c r="B1803" s="10" t="str">
        <f>"CR4975"</f>
        <v>CR4975</v>
      </c>
      <c r="C1803" s="10" t="s">
        <v>1776</v>
      </c>
    </row>
    <row r="1804" spans="1:3" s="10" customFormat="1" x14ac:dyDescent="0.25">
      <c r="A1804" s="10" t="str">
        <f>"0611862796050"</f>
        <v>0611862796050</v>
      </c>
      <c r="B1804" s="10" t="str">
        <f>"CR4976"</f>
        <v>CR4976</v>
      </c>
      <c r="C1804" s="10" t="s">
        <v>1777</v>
      </c>
    </row>
    <row r="1805" spans="1:3" s="10" customFormat="1" x14ac:dyDescent="0.25">
      <c r="A1805" s="10" t="str">
        <f>"0611862797050"</f>
        <v>0611862797050</v>
      </c>
      <c r="B1805" s="10" t="str">
        <f>"CR4977"</f>
        <v>CR4977</v>
      </c>
      <c r="C1805" s="10" t="s">
        <v>1778</v>
      </c>
    </row>
    <row r="1806" spans="1:3" s="10" customFormat="1" x14ac:dyDescent="0.25">
      <c r="A1806" s="10" t="str">
        <f>"0611893610050"</f>
        <v>0611893610050</v>
      </c>
      <c r="B1806" s="10" t="str">
        <f>"CR5406"</f>
        <v>CR5406</v>
      </c>
      <c r="C1806" s="10" t="s">
        <v>1779</v>
      </c>
    </row>
    <row r="1807" spans="1:3" s="10" customFormat="1" x14ac:dyDescent="0.25">
      <c r="A1807" s="10" t="str">
        <f>"0611862798050"</f>
        <v>0611862798050</v>
      </c>
      <c r="B1807" s="10" t="str">
        <f>"CR4978"</f>
        <v>CR4978</v>
      </c>
      <c r="C1807" s="10" t="s">
        <v>1780</v>
      </c>
    </row>
    <row r="1808" spans="1:3" s="10" customFormat="1" x14ac:dyDescent="0.25">
      <c r="A1808" s="10" t="str">
        <f>"0611884268050"</f>
        <v>0611884268050</v>
      </c>
      <c r="B1808" s="10" t="str">
        <f>"CR5415"</f>
        <v>CR5415</v>
      </c>
      <c r="C1808" s="10" t="s">
        <v>1781</v>
      </c>
    </row>
    <row r="1809" spans="1:3" s="10" customFormat="1" x14ac:dyDescent="0.25">
      <c r="A1809" s="10" t="str">
        <f>"0611862799050"</f>
        <v>0611862799050</v>
      </c>
      <c r="B1809" s="10" t="str">
        <f>"CR3899"</f>
        <v>CR3899</v>
      </c>
      <c r="C1809" s="10" t="s">
        <v>1782</v>
      </c>
    </row>
    <row r="1810" spans="1:3" s="10" customFormat="1" x14ac:dyDescent="0.25">
      <c r="A1810" s="10" t="str">
        <f>"0611862800050"</f>
        <v>0611862800050</v>
      </c>
      <c r="B1810" s="10" t="str">
        <f>"CR3547"</f>
        <v>CR3547</v>
      </c>
      <c r="C1810" s="10" t="s">
        <v>1783</v>
      </c>
    </row>
    <row r="1811" spans="1:3" s="10" customFormat="1" x14ac:dyDescent="0.25">
      <c r="A1811" s="10" t="str">
        <f>"0611862802050"</f>
        <v>0611862802050</v>
      </c>
      <c r="B1811" s="10" t="str">
        <f>"CR3201"</f>
        <v>CR3201</v>
      </c>
      <c r="C1811" s="10" t="s">
        <v>1784</v>
      </c>
    </row>
    <row r="1812" spans="1:3" s="10" customFormat="1" x14ac:dyDescent="0.25">
      <c r="A1812" s="10" t="str">
        <f>"0611862803050"</f>
        <v>0611862803050</v>
      </c>
      <c r="B1812" s="10" t="str">
        <f>"CR2646"</f>
        <v>CR2646</v>
      </c>
      <c r="C1812" s="10" t="s">
        <v>1785</v>
      </c>
    </row>
    <row r="1813" spans="1:3" s="10" customFormat="1" x14ac:dyDescent="0.25">
      <c r="A1813" s="10" t="str">
        <f>"0611862804050"</f>
        <v>0611862804050</v>
      </c>
      <c r="B1813" s="10" t="str">
        <f>"CR3451"</f>
        <v>CR3451</v>
      </c>
      <c r="C1813" s="10" t="s">
        <v>1786</v>
      </c>
    </row>
    <row r="1814" spans="1:3" s="10" customFormat="1" x14ac:dyDescent="0.25">
      <c r="A1814" s="10" t="str">
        <f>"0611862805050"</f>
        <v>0611862805050</v>
      </c>
      <c r="B1814" s="10" t="str">
        <f>"CR3293"</f>
        <v>CR3293</v>
      </c>
      <c r="C1814" s="10" t="s">
        <v>1787</v>
      </c>
    </row>
    <row r="1815" spans="1:3" s="10" customFormat="1" x14ac:dyDescent="0.25">
      <c r="A1815" s="10" t="str">
        <f>"0611862806050"</f>
        <v>0611862806050</v>
      </c>
      <c r="B1815" s="10" t="str">
        <f>"CR3373"</f>
        <v>CR3373</v>
      </c>
      <c r="C1815" s="10" t="s">
        <v>1788</v>
      </c>
    </row>
    <row r="1816" spans="1:3" s="10" customFormat="1" x14ac:dyDescent="0.25">
      <c r="A1816" s="10" t="str">
        <f>"0611862807050"</f>
        <v>0611862807050</v>
      </c>
      <c r="B1816" s="10" t="str">
        <f>"CR2352"</f>
        <v>CR2352</v>
      </c>
      <c r="C1816" s="10" t="s">
        <v>1789</v>
      </c>
    </row>
    <row r="1817" spans="1:3" s="10" customFormat="1" x14ac:dyDescent="0.25">
      <c r="A1817" s="10" t="str">
        <f>"0611862808050"</f>
        <v>0611862808050</v>
      </c>
      <c r="B1817" s="10" t="str">
        <f>"CR2865"</f>
        <v>CR2865</v>
      </c>
      <c r="C1817" s="10" t="s">
        <v>1790</v>
      </c>
    </row>
    <row r="1818" spans="1:3" s="10" customFormat="1" x14ac:dyDescent="0.25">
      <c r="A1818" s="10" t="str">
        <f>"0611862809050"</f>
        <v>0611862809050</v>
      </c>
      <c r="B1818" s="10" t="str">
        <f>"CR3890"</f>
        <v>CR3890</v>
      </c>
      <c r="C1818" s="10" t="s">
        <v>1791</v>
      </c>
    </row>
    <row r="1819" spans="1:3" s="10" customFormat="1" x14ac:dyDescent="0.25">
      <c r="A1819" s="10" t="str">
        <f>"0611862810050"</f>
        <v>0611862810050</v>
      </c>
      <c r="B1819" s="10" t="str">
        <f>"CR2353"</f>
        <v>CR2353</v>
      </c>
      <c r="C1819" s="10" t="s">
        <v>1792</v>
      </c>
    </row>
    <row r="1820" spans="1:3" s="10" customFormat="1" x14ac:dyDescent="0.25">
      <c r="A1820" s="10" t="str">
        <f>"0611862811050"</f>
        <v>0611862811050</v>
      </c>
      <c r="B1820" s="10" t="str">
        <f>"CR2968"</f>
        <v>CR2968</v>
      </c>
      <c r="C1820" s="10" t="s">
        <v>1793</v>
      </c>
    </row>
    <row r="1821" spans="1:3" s="10" customFormat="1" x14ac:dyDescent="0.25">
      <c r="A1821" s="10" t="str">
        <f>"0611862812050"</f>
        <v>0611862812050</v>
      </c>
      <c r="B1821" s="10" t="str">
        <f>"CR3716"</f>
        <v>CR3716</v>
      </c>
      <c r="C1821" s="10" t="s">
        <v>1794</v>
      </c>
    </row>
    <row r="1822" spans="1:3" s="10" customFormat="1" x14ac:dyDescent="0.25">
      <c r="A1822" s="10" t="str">
        <f>"0611862813050"</f>
        <v>0611862813050</v>
      </c>
      <c r="B1822" s="10" t="str">
        <f>"CR2351"</f>
        <v>CR2351</v>
      </c>
      <c r="C1822" s="10" t="s">
        <v>1795</v>
      </c>
    </row>
    <row r="1823" spans="1:3" s="10" customFormat="1" x14ac:dyDescent="0.25">
      <c r="A1823" s="10" t="str">
        <f>"0611862814050"</f>
        <v>0611862814050</v>
      </c>
      <c r="B1823" s="10" t="str">
        <f>"CR2354"</f>
        <v>CR2354</v>
      </c>
      <c r="C1823" s="10" t="s">
        <v>1796</v>
      </c>
    </row>
    <row r="1824" spans="1:3" s="10" customFormat="1" x14ac:dyDescent="0.25">
      <c r="A1824" s="10" t="str">
        <f>"0611862815050"</f>
        <v>0611862815050</v>
      </c>
      <c r="B1824" s="10" t="str">
        <f>"CR2355"</f>
        <v>CR2355</v>
      </c>
      <c r="C1824" s="10" t="s">
        <v>1797</v>
      </c>
    </row>
    <row r="1825" spans="1:3" s="10" customFormat="1" x14ac:dyDescent="0.25">
      <c r="A1825" s="10" t="str">
        <f>"0611862816050"</f>
        <v>0611862816050</v>
      </c>
      <c r="B1825" s="10" t="str">
        <f>"CR2356"</f>
        <v>CR2356</v>
      </c>
      <c r="C1825" s="10" t="s">
        <v>1798</v>
      </c>
    </row>
    <row r="1826" spans="1:3" s="10" customFormat="1" x14ac:dyDescent="0.25">
      <c r="A1826" t="str">
        <f>"0611835876100"</f>
        <v>0611835876100</v>
      </c>
      <c r="B1826" t="str">
        <f>"LB4202"</f>
        <v>LB4202</v>
      </c>
      <c r="C1826" t="s">
        <v>1799</v>
      </c>
    </row>
    <row r="1827" spans="1:3" s="10" customFormat="1" x14ac:dyDescent="0.25">
      <c r="A1827" t="str">
        <f>"0611835877025"</f>
        <v>0611835877025</v>
      </c>
      <c r="B1827" t="str">
        <f>"MC1441"</f>
        <v>MC1441</v>
      </c>
      <c r="C1827" t="s">
        <v>1800</v>
      </c>
    </row>
    <row r="1828" spans="1:3" s="10" customFormat="1" x14ac:dyDescent="0.25">
      <c r="A1828" s="10" t="str">
        <f>"0611862823050"</f>
        <v>0611862823050</v>
      </c>
      <c r="B1828" s="10" t="str">
        <f>"CR4139"</f>
        <v>CR4139</v>
      </c>
      <c r="C1828" s="10" t="s">
        <v>1801</v>
      </c>
    </row>
    <row r="1829" spans="1:3" s="10" customFormat="1" x14ac:dyDescent="0.25">
      <c r="A1829" s="10" t="str">
        <f>"0611862824050"</f>
        <v>0611862824050</v>
      </c>
      <c r="B1829" s="10" t="str">
        <f>"CR2969"</f>
        <v>CR2969</v>
      </c>
      <c r="C1829" s="10" t="s">
        <v>1802</v>
      </c>
    </row>
    <row r="1830" spans="1:3" s="10" customFormat="1" x14ac:dyDescent="0.25">
      <c r="A1830" s="10" t="str">
        <f>"0611862825050"</f>
        <v>0611862825050</v>
      </c>
      <c r="B1830" s="10" t="str">
        <f>"CR2970"</f>
        <v>CR2970</v>
      </c>
      <c r="C1830" s="10" t="s">
        <v>1803</v>
      </c>
    </row>
    <row r="1831" spans="1:3" s="10" customFormat="1" x14ac:dyDescent="0.25">
      <c r="A1831" s="10" t="str">
        <f>"0611862826050"</f>
        <v>0611862826050</v>
      </c>
      <c r="B1831" s="10" t="str">
        <f>"CR4067"</f>
        <v>CR4067</v>
      </c>
      <c r="C1831" s="10" t="s">
        <v>1804</v>
      </c>
    </row>
    <row r="1832" spans="1:3" s="10" customFormat="1" x14ac:dyDescent="0.25">
      <c r="A1832" s="10" t="str">
        <f>"0611862827100"</f>
        <v>0611862827100</v>
      </c>
      <c r="B1832" s="10" t="str">
        <f>"CN2326"</f>
        <v>CN2326</v>
      </c>
      <c r="C1832" s="10" t="s">
        <v>1805</v>
      </c>
    </row>
    <row r="1833" spans="1:3" s="10" customFormat="1" x14ac:dyDescent="0.25">
      <c r="A1833" s="10" t="str">
        <f>"0611862830100"</f>
        <v>0611862830100</v>
      </c>
      <c r="B1833" s="10" t="str">
        <f>"CN2332"</f>
        <v>CN2332</v>
      </c>
      <c r="C1833" s="10" t="s">
        <v>1807</v>
      </c>
    </row>
    <row r="1834" spans="1:3" s="10" customFormat="1" x14ac:dyDescent="0.25">
      <c r="A1834" s="10" t="str">
        <f>"0611862832100"</f>
        <v>0611862832100</v>
      </c>
      <c r="B1834" s="10" t="str">
        <f>"CN2273"</f>
        <v>CN2273</v>
      </c>
      <c r="C1834" s="10" t="s">
        <v>1808</v>
      </c>
    </row>
    <row r="1835" spans="1:3" s="10" customFormat="1" x14ac:dyDescent="0.25">
      <c r="A1835" s="10" t="str">
        <f>"0611862834100"</f>
        <v>0611862834100</v>
      </c>
      <c r="B1835" s="10" t="str">
        <f>"CN2203"</f>
        <v>CN2203</v>
      </c>
      <c r="C1835" s="10" t="s">
        <v>1809</v>
      </c>
    </row>
    <row r="1836" spans="1:3" s="10" customFormat="1" x14ac:dyDescent="0.25">
      <c r="A1836" s="10" t="str">
        <f>"0611862836100"</f>
        <v>0611862836100</v>
      </c>
      <c r="B1836" s="10" t="str">
        <f>"CN2283"</f>
        <v>CN2283</v>
      </c>
      <c r="C1836" s="10" t="s">
        <v>1817</v>
      </c>
    </row>
    <row r="1837" spans="1:3" s="10" customFormat="1" x14ac:dyDescent="0.25">
      <c r="A1837" s="10" t="str">
        <f>"0611862837100"</f>
        <v>0611862837100</v>
      </c>
      <c r="B1837" s="10" t="str">
        <f>"CN2284"</f>
        <v>CN2284</v>
      </c>
      <c r="C1837" s="10" t="s">
        <v>1818</v>
      </c>
    </row>
    <row r="1838" spans="1:3" s="10" customFormat="1" x14ac:dyDescent="0.25">
      <c r="A1838" s="10" t="str">
        <f>"0611862838100"</f>
        <v>0611862838100</v>
      </c>
      <c r="B1838" s="10" t="str">
        <f>"CN2282"</f>
        <v>CN2282</v>
      </c>
      <c r="C1838" s="10" t="s">
        <v>1819</v>
      </c>
    </row>
    <row r="1839" spans="1:3" s="10" customFormat="1" x14ac:dyDescent="0.25">
      <c r="A1839" s="10" t="str">
        <f>"0611862839100"</f>
        <v>0611862839100</v>
      </c>
      <c r="B1839" s="10" t="str">
        <f>"CN2285"</f>
        <v>CN2285</v>
      </c>
      <c r="C1839" s="10" t="s">
        <v>1820</v>
      </c>
    </row>
    <row r="1840" spans="1:3" s="10" customFormat="1" x14ac:dyDescent="0.25">
      <c r="A1840" s="10" t="str">
        <f>"0611862841100"</f>
        <v>0611862841100</v>
      </c>
      <c r="B1840" s="10" t="str">
        <f>"CN2280"</f>
        <v>CN2280</v>
      </c>
      <c r="C1840" s="10" t="s">
        <v>1821</v>
      </c>
    </row>
    <row r="1841" spans="1:3" s="10" customFormat="1" x14ac:dyDescent="0.25">
      <c r="A1841" s="10" t="str">
        <f>"0611862842100"</f>
        <v>0611862842100</v>
      </c>
      <c r="B1841" s="10" t="str">
        <f>"CN2279"</f>
        <v>CN2279</v>
      </c>
      <c r="C1841" s="10" t="s">
        <v>1822</v>
      </c>
    </row>
    <row r="1842" spans="1:3" s="10" customFormat="1" x14ac:dyDescent="0.25">
      <c r="A1842" s="10" t="str">
        <f>"0611862843100"</f>
        <v>0611862843100</v>
      </c>
      <c r="B1842" s="10" t="str">
        <f>"CN2278"</f>
        <v>CN2278</v>
      </c>
      <c r="C1842" s="10" t="s">
        <v>1823</v>
      </c>
    </row>
    <row r="1843" spans="1:3" s="10" customFormat="1" x14ac:dyDescent="0.25">
      <c r="A1843" s="10" t="str">
        <f>"0611862844100"</f>
        <v>0611862844100</v>
      </c>
      <c r="B1843" s="10" t="str">
        <f>"CN2281"</f>
        <v>CN2281</v>
      </c>
      <c r="C1843" s="10" t="s">
        <v>1824</v>
      </c>
    </row>
    <row r="1844" spans="1:3" s="10" customFormat="1" x14ac:dyDescent="0.25">
      <c r="A1844" s="10" t="str">
        <f>"0611862845100"</f>
        <v>0611862845100</v>
      </c>
      <c r="B1844" s="10" t="str">
        <f>"CN2297"</f>
        <v>CN2297</v>
      </c>
      <c r="C1844" s="10" t="s">
        <v>1825</v>
      </c>
    </row>
    <row r="1845" spans="1:3" s="10" customFormat="1" x14ac:dyDescent="0.25">
      <c r="A1845" s="10" t="str">
        <f>"0611862846100"</f>
        <v>0611862846100</v>
      </c>
      <c r="B1845" s="10" t="str">
        <f>"CN2287"</f>
        <v>CN2287</v>
      </c>
      <c r="C1845" s="10" t="s">
        <v>1826</v>
      </c>
    </row>
    <row r="1846" spans="1:3" s="10" customFormat="1" x14ac:dyDescent="0.25">
      <c r="A1846" s="10" t="str">
        <f>"0611862847100"</f>
        <v>0611862847100</v>
      </c>
      <c r="B1846" s="10" t="str">
        <f>"CN2286"</f>
        <v>CN2286</v>
      </c>
      <c r="C1846" s="10" t="s">
        <v>1827</v>
      </c>
    </row>
    <row r="1847" spans="1:3" s="10" customFormat="1" x14ac:dyDescent="0.25">
      <c r="A1847" s="10" t="str">
        <f>"0611862848100"</f>
        <v>0611862848100</v>
      </c>
      <c r="B1847" s="10" t="str">
        <f>"CN2289"</f>
        <v>CN2289</v>
      </c>
      <c r="C1847" s="10" t="s">
        <v>1828</v>
      </c>
    </row>
    <row r="1848" spans="1:3" s="10" customFormat="1" x14ac:dyDescent="0.25">
      <c r="A1848" s="10" t="str">
        <f>"0611862849100"</f>
        <v>0611862849100</v>
      </c>
      <c r="B1848" s="10" t="str">
        <f>"CN2288"</f>
        <v>CN2288</v>
      </c>
      <c r="C1848" s="10" t="s">
        <v>1829</v>
      </c>
    </row>
    <row r="1849" spans="1:3" s="10" customFormat="1" x14ac:dyDescent="0.25">
      <c r="A1849" s="10" t="str">
        <f>"0611862850100"</f>
        <v>0611862850100</v>
      </c>
      <c r="B1849" s="10" t="str">
        <f>"CN2293"</f>
        <v>CN2293</v>
      </c>
      <c r="C1849" s="10" t="s">
        <v>1830</v>
      </c>
    </row>
    <row r="1850" spans="1:3" s="10" customFormat="1" x14ac:dyDescent="0.25">
      <c r="A1850" s="10" t="str">
        <f>"0611906576100"</f>
        <v>0611906576100</v>
      </c>
      <c r="B1850" s="10" t="str">
        <f>"CN2488"</f>
        <v>CN2488</v>
      </c>
      <c r="C1850" s="10" t="s">
        <v>1810</v>
      </c>
    </row>
    <row r="1851" spans="1:3" s="10" customFormat="1" x14ac:dyDescent="0.25">
      <c r="A1851" s="10" t="str">
        <f>"0611884270100"</f>
        <v>0611884270100</v>
      </c>
      <c r="B1851" s="10" t="str">
        <f>"CN2420"</f>
        <v>CN2420</v>
      </c>
      <c r="C1851" s="10" t="s">
        <v>1831</v>
      </c>
    </row>
    <row r="1852" spans="1:3" s="10" customFormat="1" x14ac:dyDescent="0.25">
      <c r="A1852" s="10" t="str">
        <f>"0611893611100"</f>
        <v>0611893611100</v>
      </c>
      <c r="B1852" s="10" t="str">
        <f>"CN2421"</f>
        <v>CN2421</v>
      </c>
      <c r="C1852" s="10" t="s">
        <v>1832</v>
      </c>
    </row>
    <row r="1853" spans="1:3" s="10" customFormat="1" x14ac:dyDescent="0.25">
      <c r="A1853" s="10" t="str">
        <f>"0611906577100"</f>
        <v>0611906577100</v>
      </c>
      <c r="B1853" s="10" t="str">
        <f>"CN2489"</f>
        <v>CN2489</v>
      </c>
      <c r="C1853" s="10" t="s">
        <v>1811</v>
      </c>
    </row>
    <row r="1854" spans="1:3" s="10" customFormat="1" x14ac:dyDescent="0.25">
      <c r="A1854" s="10" t="str">
        <f>"0611862851100"</f>
        <v>0611862851100</v>
      </c>
      <c r="B1854" s="10" t="str">
        <f>"CN2294"</f>
        <v>CN2294</v>
      </c>
      <c r="C1854" s="10" t="s">
        <v>1833</v>
      </c>
    </row>
    <row r="1855" spans="1:3" s="10" customFormat="1" x14ac:dyDescent="0.25">
      <c r="A1855" s="10" t="str">
        <f>"0611884271100"</f>
        <v>0611884271100</v>
      </c>
      <c r="B1855" s="10" t="str">
        <f>"CN2418"</f>
        <v>CN2418</v>
      </c>
      <c r="C1855" s="10" t="s">
        <v>1834</v>
      </c>
    </row>
    <row r="1856" spans="1:3" s="10" customFormat="1" x14ac:dyDescent="0.25">
      <c r="A1856" s="10" t="str">
        <f>"0611906578100"</f>
        <v>0611906578100</v>
      </c>
      <c r="B1856" s="10" t="str">
        <f>"CN2485"</f>
        <v>CN2485</v>
      </c>
      <c r="C1856" s="10" t="s">
        <v>1812</v>
      </c>
    </row>
    <row r="1857" spans="1:3" s="10" customFormat="1" x14ac:dyDescent="0.25">
      <c r="A1857" s="10" t="str">
        <f>"0611906579100"</f>
        <v>0611906579100</v>
      </c>
      <c r="B1857" s="10" t="str">
        <f>"CN2490"</f>
        <v>CN2490</v>
      </c>
      <c r="C1857" s="10" t="s">
        <v>1813</v>
      </c>
    </row>
    <row r="1858" spans="1:3" s="10" customFormat="1" x14ac:dyDescent="0.25">
      <c r="A1858" s="10" t="str">
        <f>"0611862852100"</f>
        <v>0611862852100</v>
      </c>
      <c r="B1858" s="10" t="str">
        <f>"CN2292"</f>
        <v>CN2292</v>
      </c>
      <c r="C1858" s="10" t="s">
        <v>1835</v>
      </c>
    </row>
    <row r="1859" spans="1:3" s="10" customFormat="1" x14ac:dyDescent="0.25">
      <c r="A1859" s="10" t="str">
        <f>"0611906580100"</f>
        <v>0611906580100</v>
      </c>
      <c r="B1859" s="10" t="str">
        <f>"CN2491"</f>
        <v>CN2491</v>
      </c>
      <c r="C1859" s="10" t="s">
        <v>1814</v>
      </c>
    </row>
    <row r="1860" spans="1:3" s="10" customFormat="1" x14ac:dyDescent="0.25">
      <c r="A1860" s="10" t="str">
        <f>"0611862853100"</f>
        <v>0611862853100</v>
      </c>
      <c r="B1860" s="10" t="str">
        <f>"CN2291"</f>
        <v>CN2291</v>
      </c>
      <c r="C1860" s="10" t="s">
        <v>1836</v>
      </c>
    </row>
    <row r="1861" spans="1:3" s="10" customFormat="1" x14ac:dyDescent="0.25">
      <c r="A1861" s="10" t="str">
        <f>"0611906581100"</f>
        <v>0611906581100</v>
      </c>
      <c r="B1861" s="10" t="str">
        <f>"CN2486"</f>
        <v>CN2486</v>
      </c>
      <c r="C1861" s="10" t="s">
        <v>1815</v>
      </c>
    </row>
    <row r="1862" spans="1:3" s="10" customFormat="1" x14ac:dyDescent="0.25">
      <c r="A1862" s="10" t="str">
        <f>"0611862854100"</f>
        <v>0611862854100</v>
      </c>
      <c r="B1862" s="10" t="str">
        <f>"CN2290"</f>
        <v>CN2290</v>
      </c>
      <c r="C1862" s="10" t="s">
        <v>1837</v>
      </c>
    </row>
    <row r="1863" spans="1:3" s="10" customFormat="1" x14ac:dyDescent="0.25">
      <c r="A1863" s="10" t="str">
        <f>"0611906582100"</f>
        <v>0611906582100</v>
      </c>
      <c r="B1863" s="10" t="str">
        <f>"CN2487"</f>
        <v>CN2487</v>
      </c>
      <c r="C1863" s="10" t="s">
        <v>1816</v>
      </c>
    </row>
    <row r="1864" spans="1:3" s="10" customFormat="1" x14ac:dyDescent="0.25">
      <c r="A1864" s="10" t="str">
        <f>"0611884272100"</f>
        <v>0611884272100</v>
      </c>
      <c r="B1864" s="10" t="str">
        <f>"CN2419"</f>
        <v>CN2419</v>
      </c>
      <c r="C1864" s="10" t="s">
        <v>1838</v>
      </c>
    </row>
    <row r="1865" spans="1:3" s="10" customFormat="1" x14ac:dyDescent="0.25">
      <c r="A1865" s="10" t="str">
        <f>"0611862856100"</f>
        <v>0611862856100</v>
      </c>
      <c r="B1865" s="10" t="str">
        <f>"CN2220"</f>
        <v>CN2220</v>
      </c>
      <c r="C1865" s="10" t="s">
        <v>1839</v>
      </c>
    </row>
    <row r="1866" spans="1:3" s="10" customFormat="1" x14ac:dyDescent="0.25">
      <c r="A1866" s="10" t="str">
        <f>"0611862857100"</f>
        <v>0611862857100</v>
      </c>
      <c r="B1866" s="10" t="str">
        <f>"CN2229"</f>
        <v>CN2229</v>
      </c>
      <c r="C1866" s="10" t="s">
        <v>1840</v>
      </c>
    </row>
    <row r="1867" spans="1:3" s="10" customFormat="1" x14ac:dyDescent="0.25">
      <c r="A1867" s="10" t="str">
        <f>"0611862859100"</f>
        <v>0611862859100</v>
      </c>
      <c r="B1867" s="10" t="str">
        <f>"CN2396"</f>
        <v>CN2396</v>
      </c>
      <c r="C1867" s="10" t="s">
        <v>1841</v>
      </c>
    </row>
    <row r="1868" spans="1:3" s="10" customFormat="1" x14ac:dyDescent="0.25">
      <c r="A1868" s="10" t="str">
        <f>"0611862860100"</f>
        <v>0611862860100</v>
      </c>
      <c r="B1868" s="10" t="str">
        <f>"CN2185"</f>
        <v>CN2185</v>
      </c>
      <c r="C1868" s="10" t="s">
        <v>1842</v>
      </c>
    </row>
    <row r="1869" spans="1:3" s="10" customFormat="1" x14ac:dyDescent="0.25">
      <c r="A1869" s="10" t="str">
        <f>"0611862862100"</f>
        <v>0611862862100</v>
      </c>
      <c r="B1869" s="10" t="str">
        <f>"CN2205"</f>
        <v>CN2205</v>
      </c>
      <c r="C1869" s="10" t="s">
        <v>1843</v>
      </c>
    </row>
    <row r="1870" spans="1:3" s="10" customFormat="1" x14ac:dyDescent="0.25">
      <c r="A1870" s="10" t="str">
        <f>"0611862864100"</f>
        <v>0611862864100</v>
      </c>
      <c r="B1870" s="10" t="str">
        <f>"CN2206"</f>
        <v>CN2206</v>
      </c>
      <c r="C1870" s="10" t="s">
        <v>1844</v>
      </c>
    </row>
    <row r="1871" spans="1:3" s="10" customFormat="1" x14ac:dyDescent="0.25">
      <c r="A1871" s="10" t="str">
        <f>"0611862868100"</f>
        <v>0611862868100</v>
      </c>
      <c r="B1871" s="10" t="str">
        <f>"CN2153"</f>
        <v>CN2153</v>
      </c>
      <c r="C1871" s="10" t="s">
        <v>1845</v>
      </c>
    </row>
    <row r="1872" spans="1:3" s="10" customFormat="1" x14ac:dyDescent="0.25">
      <c r="A1872" s="10" t="str">
        <f>"0611862869100"</f>
        <v>0611862869100</v>
      </c>
      <c r="B1872" s="10" t="str">
        <f>"CN2398"</f>
        <v>CN2398</v>
      </c>
      <c r="C1872" s="10" t="s">
        <v>1846</v>
      </c>
    </row>
    <row r="1873" spans="1:3" s="10" customFormat="1" x14ac:dyDescent="0.25">
      <c r="A1873" s="10" t="str">
        <f>"0611862870100"</f>
        <v>0611862870100</v>
      </c>
      <c r="B1873" s="10" t="str">
        <f>"CN2197"</f>
        <v>CN2197</v>
      </c>
      <c r="C1873" s="10" t="s">
        <v>1847</v>
      </c>
    </row>
    <row r="1874" spans="1:3" s="10" customFormat="1" x14ac:dyDescent="0.25">
      <c r="A1874" s="10" t="str">
        <f>"0611862872100"</f>
        <v>0611862872100</v>
      </c>
      <c r="B1874" s="10" t="str">
        <f>"CN2274"</f>
        <v>CN2274</v>
      </c>
      <c r="C1874" s="10" t="s">
        <v>1848</v>
      </c>
    </row>
    <row r="1875" spans="1:3" s="10" customFormat="1" x14ac:dyDescent="0.25">
      <c r="A1875" s="10" t="str">
        <f>"0611862873100"</f>
        <v>0611862873100</v>
      </c>
      <c r="B1875" s="10" t="str">
        <f>"CN2155"</f>
        <v>CN2155</v>
      </c>
      <c r="C1875" s="10" t="s">
        <v>1849</v>
      </c>
    </row>
    <row r="1876" spans="1:3" s="10" customFormat="1" x14ac:dyDescent="0.25">
      <c r="A1876" s="10" t="str">
        <f>"0611862875100"</f>
        <v>0611862875100</v>
      </c>
      <c r="B1876" s="10" t="str">
        <f>"CN2221"</f>
        <v>CN2221</v>
      </c>
      <c r="C1876" s="10" t="s">
        <v>1850</v>
      </c>
    </row>
    <row r="1877" spans="1:3" s="10" customFormat="1" x14ac:dyDescent="0.25">
      <c r="A1877" s="10" t="str">
        <f>"0611862828100"</f>
        <v>0611862828100</v>
      </c>
      <c r="B1877" s="10" t="str">
        <f>"CN2183"</f>
        <v>CN2183</v>
      </c>
      <c r="C1877" s="10" t="s">
        <v>1806</v>
      </c>
    </row>
    <row r="1878" spans="1:3" s="10" customFormat="1" x14ac:dyDescent="0.25">
      <c r="A1878" s="10" t="str">
        <f>"0611862877100"</f>
        <v>0611862877100</v>
      </c>
      <c r="B1878" s="10" t="str">
        <f>"CN2157"</f>
        <v>CN2157</v>
      </c>
      <c r="C1878" s="10" t="s">
        <v>1851</v>
      </c>
    </row>
    <row r="1879" spans="1:3" s="10" customFormat="1" x14ac:dyDescent="0.25">
      <c r="A1879" s="10" t="str">
        <f>"0611862878100"</f>
        <v>0611862878100</v>
      </c>
      <c r="B1879" s="10" t="str">
        <f>"CN2207"</f>
        <v>CN2207</v>
      </c>
      <c r="C1879" s="10" t="s">
        <v>1852</v>
      </c>
    </row>
    <row r="1880" spans="1:3" s="10" customFormat="1" x14ac:dyDescent="0.25">
      <c r="A1880" s="10" t="str">
        <f>"0611862879100"</f>
        <v>0611862879100</v>
      </c>
      <c r="B1880" s="10" t="str">
        <f>"CN2158"</f>
        <v>CN2158</v>
      </c>
      <c r="C1880" s="10" t="s">
        <v>1853</v>
      </c>
    </row>
    <row r="1881" spans="1:3" s="10" customFormat="1" x14ac:dyDescent="0.25">
      <c r="A1881" s="10" t="str">
        <f>"0611862880100"</f>
        <v>0611862880100</v>
      </c>
      <c r="B1881" s="10" t="str">
        <f>"CN2159"</f>
        <v>CN2159</v>
      </c>
      <c r="C1881" s="10" t="s">
        <v>1854</v>
      </c>
    </row>
    <row r="1882" spans="1:3" s="10" customFormat="1" x14ac:dyDescent="0.25">
      <c r="A1882" s="10" t="str">
        <f>"0611862881100"</f>
        <v>0611862881100</v>
      </c>
      <c r="B1882" s="10" t="str">
        <f>"CN2161"</f>
        <v>CN2161</v>
      </c>
      <c r="C1882" s="10" t="s">
        <v>1855</v>
      </c>
    </row>
    <row r="1883" spans="1:3" s="10" customFormat="1" x14ac:dyDescent="0.25">
      <c r="A1883" s="10" t="str">
        <f>"0611862882100"</f>
        <v>0611862882100</v>
      </c>
      <c r="B1883" s="10" t="str">
        <f>"CN2179"</f>
        <v>CN2179</v>
      </c>
      <c r="C1883" s="10" t="s">
        <v>1856</v>
      </c>
    </row>
    <row r="1884" spans="1:3" s="10" customFormat="1" x14ac:dyDescent="0.25">
      <c r="A1884" s="10" t="str">
        <f>"0611862883100"</f>
        <v>0611862883100</v>
      </c>
      <c r="B1884" s="10" t="str">
        <f>"CN2162"</f>
        <v>CN2162</v>
      </c>
      <c r="C1884" s="10" t="s">
        <v>1857</v>
      </c>
    </row>
    <row r="1885" spans="1:3" s="10" customFormat="1" x14ac:dyDescent="0.25">
      <c r="A1885" s="10" t="str">
        <f>"0611862884100"</f>
        <v>0611862884100</v>
      </c>
      <c r="B1885" s="10" t="str">
        <f>"CN2163"</f>
        <v>CN2163</v>
      </c>
      <c r="C1885" s="10" t="s">
        <v>1858</v>
      </c>
    </row>
    <row r="1886" spans="1:3" s="10" customFormat="1" x14ac:dyDescent="0.25">
      <c r="A1886" s="10" t="str">
        <f>"0611862885100"</f>
        <v>0611862885100</v>
      </c>
      <c r="B1886" s="10" t="str">
        <f>"CN2189"</f>
        <v>CN2189</v>
      </c>
      <c r="C1886" s="10" t="s">
        <v>1859</v>
      </c>
    </row>
    <row r="1887" spans="1:3" s="10" customFormat="1" x14ac:dyDescent="0.25">
      <c r="A1887" s="10" t="str">
        <f>"0611862886100"</f>
        <v>0611862886100</v>
      </c>
      <c r="B1887" s="10" t="str">
        <f>"CN2334"</f>
        <v>CN2334</v>
      </c>
      <c r="C1887" s="10" t="s">
        <v>1860</v>
      </c>
    </row>
    <row r="1888" spans="1:3" s="10" customFormat="1" x14ac:dyDescent="0.25">
      <c r="A1888" s="10" t="str">
        <f>"0611862887100"</f>
        <v>0611862887100</v>
      </c>
      <c r="B1888" s="10" t="str">
        <f>"CN2164"</f>
        <v>CN2164</v>
      </c>
      <c r="C1888" s="10" t="s">
        <v>1861</v>
      </c>
    </row>
    <row r="1889" spans="1:3" s="10" customFormat="1" x14ac:dyDescent="0.25">
      <c r="A1889" s="10" t="str">
        <f>"0611862888100"</f>
        <v>0611862888100</v>
      </c>
      <c r="B1889" s="10" t="str">
        <f>"CN2165"</f>
        <v>CN2165</v>
      </c>
      <c r="C1889" s="10" t="s">
        <v>1862</v>
      </c>
    </row>
    <row r="1890" spans="1:3" s="10" customFormat="1" x14ac:dyDescent="0.25">
      <c r="A1890" s="10" t="str">
        <f>"0611862890100"</f>
        <v>0611862890100</v>
      </c>
      <c r="B1890" s="10" t="str">
        <f>"CN2226"</f>
        <v>CN2226</v>
      </c>
      <c r="C1890" s="10" t="s">
        <v>1863</v>
      </c>
    </row>
    <row r="1891" spans="1:3" s="10" customFormat="1" x14ac:dyDescent="0.25">
      <c r="A1891" s="10" t="str">
        <f>"0611862892100"</f>
        <v>0611862892100</v>
      </c>
      <c r="B1891" s="10" t="str">
        <f>"CN2209"</f>
        <v>CN2209</v>
      </c>
      <c r="C1891" s="10" t="s">
        <v>1864</v>
      </c>
    </row>
    <row r="1892" spans="1:3" s="10" customFormat="1" x14ac:dyDescent="0.25">
      <c r="A1892" s="10" t="str">
        <f>"0611862894100"</f>
        <v>0611862894100</v>
      </c>
      <c r="B1892" s="10" t="str">
        <f>"CN2176"</f>
        <v>CN2176</v>
      </c>
      <c r="C1892" s="10" t="s">
        <v>1865</v>
      </c>
    </row>
    <row r="1893" spans="1:3" s="10" customFormat="1" x14ac:dyDescent="0.25">
      <c r="A1893" s="10" t="str">
        <f>"0611862895100"</f>
        <v>0611862895100</v>
      </c>
      <c r="B1893" s="10" t="str">
        <f>"CN2210"</f>
        <v>CN2210</v>
      </c>
      <c r="C1893" s="10" t="s">
        <v>1866</v>
      </c>
    </row>
    <row r="1894" spans="1:3" s="10" customFormat="1" x14ac:dyDescent="0.25">
      <c r="A1894" s="10" t="str">
        <f>"0611862896100"</f>
        <v>0611862896100</v>
      </c>
      <c r="B1894" s="10" t="str">
        <f>"CN2167"</f>
        <v>CN2167</v>
      </c>
      <c r="C1894" s="10" t="s">
        <v>1867</v>
      </c>
    </row>
    <row r="1895" spans="1:3" s="10" customFormat="1" x14ac:dyDescent="0.25">
      <c r="A1895" s="10" t="str">
        <f>"0611862899100"</f>
        <v>0611862899100</v>
      </c>
      <c r="B1895" s="10" t="str">
        <f>"CN2212"</f>
        <v>CN2212</v>
      </c>
      <c r="C1895" s="10" t="s">
        <v>1868</v>
      </c>
    </row>
    <row r="1896" spans="1:3" s="10" customFormat="1" x14ac:dyDescent="0.25">
      <c r="A1896" s="10" t="str">
        <f>"0611862900100"</f>
        <v>0611862900100</v>
      </c>
      <c r="B1896" s="10" t="str">
        <f>"CN2327"</f>
        <v>CN2327</v>
      </c>
      <c r="C1896" s="10" t="s">
        <v>1869</v>
      </c>
    </row>
    <row r="1897" spans="1:3" s="10" customFormat="1" x14ac:dyDescent="0.25">
      <c r="A1897" s="10" t="str">
        <f>"0611862901100"</f>
        <v>0611862901100</v>
      </c>
      <c r="B1897" s="10" t="str">
        <f>"CN2231"</f>
        <v>CN2231</v>
      </c>
      <c r="C1897" s="10" t="s">
        <v>1870</v>
      </c>
    </row>
    <row r="1898" spans="1:3" s="10" customFormat="1" x14ac:dyDescent="0.25">
      <c r="A1898" s="10" t="str">
        <f>"0611862902100"</f>
        <v>0611862902100</v>
      </c>
      <c r="B1898" s="10" t="str">
        <f>"CN2222"</f>
        <v>CN2222</v>
      </c>
      <c r="C1898" s="10" t="s">
        <v>1871</v>
      </c>
    </row>
    <row r="1899" spans="1:3" s="10" customFormat="1" x14ac:dyDescent="0.25">
      <c r="A1899" s="10" t="str">
        <f>"0611862903100"</f>
        <v>0611862903100</v>
      </c>
      <c r="B1899" s="10" t="str">
        <f>"CN2202"</f>
        <v>CN2202</v>
      </c>
      <c r="C1899" s="10" t="s">
        <v>1872</v>
      </c>
    </row>
    <row r="1900" spans="1:3" s="10" customFormat="1" x14ac:dyDescent="0.25">
      <c r="A1900" s="10" t="str">
        <f>"0611862904100"</f>
        <v>0611862904100</v>
      </c>
      <c r="B1900" s="10" t="str">
        <f>"CN2227"</f>
        <v>CN2227</v>
      </c>
      <c r="C1900" s="10" t="s">
        <v>1873</v>
      </c>
    </row>
    <row r="1901" spans="1:3" s="10" customFormat="1" x14ac:dyDescent="0.25">
      <c r="A1901" s="10" t="str">
        <f>"0611862905100"</f>
        <v>0611862905100</v>
      </c>
      <c r="B1901" s="10" t="str">
        <f>"CN2298"</f>
        <v>CN2298</v>
      </c>
      <c r="C1901" s="10" t="s">
        <v>1874</v>
      </c>
    </row>
    <row r="1902" spans="1:3" s="10" customFormat="1" x14ac:dyDescent="0.25">
      <c r="A1902" s="10" t="str">
        <f>"0611862906100"</f>
        <v>0611862906100</v>
      </c>
      <c r="B1902" s="10" t="str">
        <f>"CN2168"</f>
        <v>CN2168</v>
      </c>
      <c r="C1902" s="10" t="s">
        <v>1875</v>
      </c>
    </row>
    <row r="1903" spans="1:3" s="10" customFormat="1" x14ac:dyDescent="0.25">
      <c r="A1903" s="10" t="str">
        <f>"0611862907100"</f>
        <v>0611862907100</v>
      </c>
      <c r="B1903" s="10" t="str">
        <f>"CN2169"</f>
        <v>CN2169</v>
      </c>
      <c r="C1903" s="10" t="s">
        <v>1876</v>
      </c>
    </row>
    <row r="1904" spans="1:3" s="10" customFormat="1" x14ac:dyDescent="0.25">
      <c r="A1904" s="10" t="str">
        <f>"0611862908100"</f>
        <v>0611862908100</v>
      </c>
      <c r="B1904" s="10" t="str">
        <f>"CN2192"</f>
        <v>CN2192</v>
      </c>
      <c r="C1904" s="10" t="s">
        <v>1877</v>
      </c>
    </row>
    <row r="1905" spans="1:3" s="10" customFormat="1" x14ac:dyDescent="0.25">
      <c r="A1905" s="10" t="str">
        <f>"0611862911100"</f>
        <v>0611862911100</v>
      </c>
      <c r="B1905" s="10" t="str">
        <f>"CN2299"</f>
        <v>CN2299</v>
      </c>
      <c r="C1905" s="10" t="s">
        <v>1878</v>
      </c>
    </row>
    <row r="1906" spans="1:3" s="10" customFormat="1" x14ac:dyDescent="0.25">
      <c r="A1906" s="10" t="str">
        <f>"0611862912100"</f>
        <v>0611862912100</v>
      </c>
      <c r="B1906" s="10" t="str">
        <f>"CN2180"</f>
        <v>CN2180</v>
      </c>
      <c r="C1906" s="10" t="s">
        <v>1879</v>
      </c>
    </row>
    <row r="1907" spans="1:3" s="10" customFormat="1" x14ac:dyDescent="0.25">
      <c r="A1907" s="10" t="str">
        <f>"0611862913100"</f>
        <v>0611862913100</v>
      </c>
      <c r="B1907" s="10" t="str">
        <f>"CN2170"</f>
        <v>CN2170</v>
      </c>
      <c r="C1907" s="10" t="s">
        <v>1880</v>
      </c>
    </row>
    <row r="1908" spans="1:3" s="10" customFormat="1" x14ac:dyDescent="0.25">
      <c r="A1908" s="10" t="str">
        <f>"0611862914100"</f>
        <v>0611862914100</v>
      </c>
      <c r="B1908" s="10" t="str">
        <f>"CN2181"</f>
        <v>CN2181</v>
      </c>
      <c r="C1908" s="10" t="s">
        <v>1881</v>
      </c>
    </row>
    <row r="1909" spans="1:3" s="10" customFormat="1" x14ac:dyDescent="0.25">
      <c r="A1909" s="10" t="str">
        <f>"0611862915100"</f>
        <v>0611862915100</v>
      </c>
      <c r="B1909" s="10" t="str">
        <f>"CN2215"</f>
        <v>CN2215</v>
      </c>
      <c r="C1909" s="10" t="s">
        <v>1882</v>
      </c>
    </row>
    <row r="1910" spans="1:3" s="10" customFormat="1" x14ac:dyDescent="0.25">
      <c r="A1910" s="10" t="str">
        <f>"0611862916100"</f>
        <v>0611862916100</v>
      </c>
      <c r="B1910" s="10" t="str">
        <f>"CN2186"</f>
        <v>CN2186</v>
      </c>
      <c r="C1910" s="10" t="s">
        <v>1883</v>
      </c>
    </row>
    <row r="1911" spans="1:3" s="10" customFormat="1" x14ac:dyDescent="0.25">
      <c r="A1911" s="10" t="str">
        <f>"0611884275100"</f>
        <v>0611884275100</v>
      </c>
      <c r="B1911" s="10" t="str">
        <f>"CN2401"</f>
        <v>CN2401</v>
      </c>
      <c r="C1911" s="10" t="s">
        <v>1884</v>
      </c>
    </row>
    <row r="1912" spans="1:3" s="10" customFormat="1" x14ac:dyDescent="0.25">
      <c r="A1912" s="10" t="str">
        <f>"0611862917100"</f>
        <v>0611862917100</v>
      </c>
      <c r="B1912" s="10" t="str">
        <f>"CN2223"</f>
        <v>CN2223</v>
      </c>
      <c r="C1912" s="10" t="s">
        <v>1885</v>
      </c>
    </row>
    <row r="1913" spans="1:3" s="10" customFormat="1" x14ac:dyDescent="0.25">
      <c r="A1913" s="10" t="str">
        <f>"0611862918100"</f>
        <v>0611862918100</v>
      </c>
      <c r="B1913" s="10" t="str">
        <f>"CN2171"</f>
        <v>CN2171</v>
      </c>
      <c r="C1913" s="10" t="s">
        <v>1886</v>
      </c>
    </row>
    <row r="1914" spans="1:3" s="10" customFormat="1" x14ac:dyDescent="0.25">
      <c r="A1914" s="10" t="str">
        <f>"0611862919100"</f>
        <v>0611862919100</v>
      </c>
      <c r="B1914" s="10" t="str">
        <f>"CN2172"</f>
        <v>CN2172</v>
      </c>
      <c r="C1914" s="10" t="s">
        <v>1887</v>
      </c>
    </row>
    <row r="1915" spans="1:3" s="10" customFormat="1" x14ac:dyDescent="0.25">
      <c r="A1915" s="10" t="str">
        <f>"0611862920100"</f>
        <v>0611862920100</v>
      </c>
      <c r="B1915" s="10" t="str">
        <f>"CN2228"</f>
        <v>CN2228</v>
      </c>
      <c r="C1915" s="10" t="s">
        <v>1888</v>
      </c>
    </row>
    <row r="1916" spans="1:3" s="10" customFormat="1" x14ac:dyDescent="0.25">
      <c r="A1916" s="10" t="str">
        <f>"0611862922100"</f>
        <v>0611862922100</v>
      </c>
      <c r="B1916" s="10" t="str">
        <f>"CN2196"</f>
        <v>CN2196</v>
      </c>
      <c r="C1916" s="10" t="s">
        <v>1889</v>
      </c>
    </row>
    <row r="1917" spans="1:3" s="10" customFormat="1" x14ac:dyDescent="0.25">
      <c r="A1917" s="10" t="str">
        <f>"0611862923100"</f>
        <v>0611862923100</v>
      </c>
      <c r="B1917" s="10" t="str">
        <f>"CN2187"</f>
        <v>CN2187</v>
      </c>
      <c r="C1917" s="10" t="s">
        <v>1890</v>
      </c>
    </row>
    <row r="1918" spans="1:3" s="10" customFormat="1" x14ac:dyDescent="0.25">
      <c r="A1918" s="10" t="str">
        <f>"0611862924100"</f>
        <v>0611862924100</v>
      </c>
      <c r="B1918" s="10" t="str">
        <f>"CN2230"</f>
        <v>CN2230</v>
      </c>
      <c r="C1918" s="10" t="s">
        <v>1891</v>
      </c>
    </row>
    <row r="1919" spans="1:3" s="10" customFormat="1" x14ac:dyDescent="0.25">
      <c r="A1919" s="10" t="str">
        <f>"0611862925100"</f>
        <v>0611862925100</v>
      </c>
      <c r="B1919" s="10" t="str">
        <f>"CN2328"</f>
        <v>CN2328</v>
      </c>
      <c r="C1919" s="10" t="s">
        <v>1892</v>
      </c>
    </row>
    <row r="1920" spans="1:3" s="10" customFormat="1" x14ac:dyDescent="0.25">
      <c r="A1920" s="10" t="str">
        <f>"0611862927100"</f>
        <v>0611862927100</v>
      </c>
      <c r="B1920" s="10" t="str">
        <f>"CN2173"</f>
        <v>CN2173</v>
      </c>
      <c r="C1920" s="10" t="s">
        <v>1893</v>
      </c>
    </row>
    <row r="1921" spans="1:3" s="10" customFormat="1" x14ac:dyDescent="0.25">
      <c r="A1921" s="10" t="str">
        <f>"0611862930100"</f>
        <v>0611862930100</v>
      </c>
      <c r="B1921" s="10" t="str">
        <f>"CN2232"</f>
        <v>CN2232</v>
      </c>
      <c r="C1921" s="10" t="s">
        <v>1894</v>
      </c>
    </row>
    <row r="1922" spans="1:3" s="10" customFormat="1" x14ac:dyDescent="0.25">
      <c r="A1922" s="10" t="str">
        <f>"0611862931100"</f>
        <v>0611862931100</v>
      </c>
      <c r="B1922" s="10" t="str">
        <f>"CN2175"</f>
        <v>CN2175</v>
      </c>
      <c r="C1922" s="10" t="s">
        <v>1895</v>
      </c>
    </row>
    <row r="1923" spans="1:3" s="10" customFormat="1" x14ac:dyDescent="0.25">
      <c r="A1923" s="10" t="str">
        <f>"0611862932100"</f>
        <v>0611862932100</v>
      </c>
      <c r="B1923" s="10" t="str">
        <f>"CN2200"</f>
        <v>CN2200</v>
      </c>
      <c r="C1923" s="10" t="s">
        <v>1896</v>
      </c>
    </row>
    <row r="1924" spans="1:3" s="10" customFormat="1" x14ac:dyDescent="0.25">
      <c r="A1924" s="10" t="str">
        <f>"0611862933100"</f>
        <v>0611862933100</v>
      </c>
      <c r="B1924" s="10" t="str">
        <f>"CN2184"</f>
        <v>CN2184</v>
      </c>
      <c r="C1924" s="10" t="s">
        <v>1897</v>
      </c>
    </row>
    <row r="1925" spans="1:3" s="10" customFormat="1" x14ac:dyDescent="0.25">
      <c r="A1925" s="10" t="str">
        <f>"0611862934100"</f>
        <v>0611862934100</v>
      </c>
      <c r="B1925" s="10" t="str">
        <f>"CN2224"</f>
        <v>CN2224</v>
      </c>
      <c r="C1925" s="10" t="s">
        <v>1898</v>
      </c>
    </row>
    <row r="1926" spans="1:3" s="10" customFormat="1" x14ac:dyDescent="0.25">
      <c r="A1926" s="10" t="str">
        <f>"0611862935100"</f>
        <v>0611862935100</v>
      </c>
      <c r="B1926" s="10" t="str">
        <f>"CN2198"</f>
        <v>CN2198</v>
      </c>
      <c r="C1926" s="10" t="s">
        <v>1899</v>
      </c>
    </row>
    <row r="1927" spans="1:3" s="10" customFormat="1" x14ac:dyDescent="0.25">
      <c r="A1927" s="10" t="str">
        <f>"0611862936100"</f>
        <v>0611862936100</v>
      </c>
      <c r="B1927" s="10" t="str">
        <f>"CN2178"</f>
        <v>CN2178</v>
      </c>
      <c r="C1927" s="10" t="s">
        <v>1900</v>
      </c>
    </row>
    <row r="1928" spans="1:3" s="10" customFormat="1" x14ac:dyDescent="0.25">
      <c r="A1928" s="10" t="str">
        <f>"0611862937100"</f>
        <v>0611862937100</v>
      </c>
      <c r="B1928" s="10" t="str">
        <f>"CN2225"</f>
        <v>CN2225</v>
      </c>
      <c r="C1928" s="10" t="s">
        <v>1901</v>
      </c>
    </row>
    <row r="1929" spans="1:3" s="10" customFormat="1" x14ac:dyDescent="0.25">
      <c r="A1929" s="10" t="str">
        <f>"0611863048100"</f>
        <v>0611863048100</v>
      </c>
      <c r="B1929" s="10" t="str">
        <f>"CN5206"</f>
        <v>CN5206</v>
      </c>
      <c r="C1929" s="10" t="s">
        <v>1902</v>
      </c>
    </row>
    <row r="1930" spans="1:3" s="10" customFormat="1" x14ac:dyDescent="0.25">
      <c r="A1930" s="10" t="str">
        <f>"0611863049050"</f>
        <v>0611863049050</v>
      </c>
      <c r="B1930" s="10" t="str">
        <f>"CR2358"</f>
        <v>CR2358</v>
      </c>
      <c r="C1930" s="10" t="s">
        <v>1903</v>
      </c>
    </row>
    <row r="1931" spans="1:3" s="10" customFormat="1" x14ac:dyDescent="0.25">
      <c r="A1931" s="10" t="str">
        <f>"0611863050100"</f>
        <v>0611863050100</v>
      </c>
      <c r="B1931" s="10" t="str">
        <f>"CN5207"</f>
        <v>CN5207</v>
      </c>
      <c r="C1931" s="10" t="s">
        <v>1904</v>
      </c>
    </row>
    <row r="1932" spans="1:3" s="10" customFormat="1" x14ac:dyDescent="0.25">
      <c r="A1932" s="10" t="str">
        <f>"0611863052050"</f>
        <v>0611863052050</v>
      </c>
      <c r="B1932" s="10" t="str">
        <f>"CR4335"</f>
        <v>CR4335</v>
      </c>
      <c r="C1932" s="10" t="s">
        <v>1905</v>
      </c>
    </row>
    <row r="1933" spans="1:3" s="10" customFormat="1" x14ac:dyDescent="0.25">
      <c r="A1933" s="10" t="str">
        <f>"0611863053100"</f>
        <v>0611863053100</v>
      </c>
      <c r="B1933" s="10" t="str">
        <f>"CN5208"</f>
        <v>CN5208</v>
      </c>
      <c r="C1933" s="10" t="s">
        <v>1906</v>
      </c>
    </row>
    <row r="1934" spans="1:3" s="10" customFormat="1" x14ac:dyDescent="0.25">
      <c r="A1934" s="10" t="str">
        <f>"0611863054100"</f>
        <v>0611863054100</v>
      </c>
      <c r="B1934" s="10" t="str">
        <f>"CN5209"</f>
        <v>CN5209</v>
      </c>
      <c r="C1934" s="10" t="s">
        <v>1907</v>
      </c>
    </row>
    <row r="1935" spans="1:3" s="10" customFormat="1" x14ac:dyDescent="0.25">
      <c r="A1935" s="10" t="str">
        <f>"0611863056100"</f>
        <v>0611863056100</v>
      </c>
      <c r="B1935" s="10" t="str">
        <f>"CN5210"</f>
        <v>CN5210</v>
      </c>
      <c r="C1935" s="10" t="s">
        <v>1908</v>
      </c>
    </row>
    <row r="1936" spans="1:3" s="10" customFormat="1" x14ac:dyDescent="0.25">
      <c r="A1936" s="10" t="str">
        <f>"0611863057100"</f>
        <v>0611863057100</v>
      </c>
      <c r="B1936" s="10" t="str">
        <f>"CN5211"</f>
        <v>CN5211</v>
      </c>
      <c r="C1936" s="10" t="s">
        <v>1909</v>
      </c>
    </row>
    <row r="1937" spans="1:3" s="10" customFormat="1" x14ac:dyDescent="0.25">
      <c r="A1937" s="10" t="str">
        <f>"0611863058100"</f>
        <v>0611863058100</v>
      </c>
      <c r="B1937" s="10" t="str">
        <f>"CN2374"</f>
        <v>CN2374</v>
      </c>
      <c r="C1937" s="10" t="s">
        <v>1910</v>
      </c>
    </row>
    <row r="1938" spans="1:3" s="10" customFormat="1" x14ac:dyDescent="0.25">
      <c r="A1938" s="10" t="str">
        <f>"0611863059100"</f>
        <v>0611863059100</v>
      </c>
      <c r="B1938" s="10" t="str">
        <f>"CN2375"</f>
        <v>CN2375</v>
      </c>
      <c r="C1938" s="10" t="s">
        <v>1911</v>
      </c>
    </row>
    <row r="1939" spans="1:3" s="10" customFormat="1" x14ac:dyDescent="0.25">
      <c r="A1939" s="10" t="str">
        <f>"0611863061100"</f>
        <v>0611863061100</v>
      </c>
      <c r="B1939" s="10" t="str">
        <f>"CN5212"</f>
        <v>CN5212</v>
      </c>
      <c r="C1939" s="10" t="s">
        <v>1912</v>
      </c>
    </row>
    <row r="1940" spans="1:3" s="10" customFormat="1" x14ac:dyDescent="0.25">
      <c r="A1940" s="10" t="str">
        <f>"0611863062100"</f>
        <v>0611863062100</v>
      </c>
      <c r="B1940" s="10" t="str">
        <f>"CN5213"</f>
        <v>CN5213</v>
      </c>
      <c r="C1940" s="10" t="s">
        <v>1913</v>
      </c>
    </row>
    <row r="1941" spans="1:3" s="10" customFormat="1" x14ac:dyDescent="0.25">
      <c r="A1941" s="10" t="str">
        <f>"0611863063100"</f>
        <v>0611863063100</v>
      </c>
      <c r="B1941" s="10" t="str">
        <f>"CN5214"</f>
        <v>CN5214</v>
      </c>
      <c r="C1941" s="10" t="s">
        <v>1914</v>
      </c>
    </row>
    <row r="1942" spans="1:3" s="10" customFormat="1" x14ac:dyDescent="0.25">
      <c r="A1942" s="10" t="str">
        <f>"0611863064100"</f>
        <v>0611863064100</v>
      </c>
      <c r="B1942" s="10" t="str">
        <f>"CN5215"</f>
        <v>CN5215</v>
      </c>
      <c r="C1942" s="10" t="s">
        <v>1915</v>
      </c>
    </row>
    <row r="1943" spans="1:3" s="10" customFormat="1" x14ac:dyDescent="0.25">
      <c r="A1943" s="10" t="str">
        <f>"0611863101050"</f>
        <v>0611863101050</v>
      </c>
      <c r="B1943" s="10" t="str">
        <f>"CR2362"</f>
        <v>CR2362</v>
      </c>
      <c r="C1943" s="10" t="s">
        <v>1916</v>
      </c>
    </row>
    <row r="1944" spans="1:3" s="10" customFormat="1" x14ac:dyDescent="0.25">
      <c r="A1944" s="10" t="str">
        <f>"0611863102050"</f>
        <v>0611863102050</v>
      </c>
      <c r="B1944" s="10" t="str">
        <f>"CR2363"</f>
        <v>CR2363</v>
      </c>
      <c r="C1944" s="10" t="s">
        <v>1917</v>
      </c>
    </row>
    <row r="1945" spans="1:3" s="10" customFormat="1" x14ac:dyDescent="0.25">
      <c r="A1945" s="10" t="str">
        <f>"0611863103050"</f>
        <v>0611863103050</v>
      </c>
      <c r="B1945" s="10" t="str">
        <f>"CR3891"</f>
        <v>CR3891</v>
      </c>
      <c r="C1945" s="10" t="s">
        <v>1918</v>
      </c>
    </row>
    <row r="1946" spans="1:3" s="10" customFormat="1" x14ac:dyDescent="0.25">
      <c r="A1946" s="10" t="str">
        <f>"0611863104050"</f>
        <v>0611863104050</v>
      </c>
      <c r="B1946" s="10" t="str">
        <f>"CR2971"</f>
        <v>CR2971</v>
      </c>
      <c r="C1946" s="10" t="s">
        <v>1919</v>
      </c>
    </row>
    <row r="1947" spans="1:3" s="10" customFormat="1" x14ac:dyDescent="0.25">
      <c r="A1947" s="10" t="str">
        <f>"0611863105050"</f>
        <v>0611863105050</v>
      </c>
      <c r="B1947" s="10" t="str">
        <f>"CR3120"</f>
        <v>CR3120</v>
      </c>
      <c r="C1947" s="10" t="s">
        <v>1920</v>
      </c>
    </row>
    <row r="1948" spans="1:3" s="10" customFormat="1" x14ac:dyDescent="0.25">
      <c r="A1948" s="10" t="str">
        <f>"0611863106050"</f>
        <v>0611863106050</v>
      </c>
      <c r="B1948" s="10" t="str">
        <f>"CR3971"</f>
        <v>CR3971</v>
      </c>
      <c r="C1948" s="10" t="s">
        <v>1921</v>
      </c>
    </row>
    <row r="1949" spans="1:3" s="10" customFormat="1" x14ac:dyDescent="0.25">
      <c r="A1949" s="10" t="str">
        <f>"0611863107050"</f>
        <v>0611863107050</v>
      </c>
      <c r="B1949" s="10" t="str">
        <f>"CR3869"</f>
        <v>CR3869</v>
      </c>
      <c r="C1949" s="10" t="s">
        <v>1922</v>
      </c>
    </row>
    <row r="1950" spans="1:3" s="10" customFormat="1" x14ac:dyDescent="0.25">
      <c r="A1950" s="10" t="str">
        <f>"0611863108050"</f>
        <v>0611863108050</v>
      </c>
      <c r="B1950" s="10" t="str">
        <f>"CR3871"</f>
        <v>CR3871</v>
      </c>
      <c r="C1950" s="10" t="s">
        <v>1923</v>
      </c>
    </row>
    <row r="1951" spans="1:3" s="10" customFormat="1" x14ac:dyDescent="0.25">
      <c r="A1951" s="10" t="str">
        <f>"0611863109050"</f>
        <v>0611863109050</v>
      </c>
      <c r="B1951" s="10" t="str">
        <f>"CR3721"</f>
        <v>CR3721</v>
      </c>
      <c r="C1951" s="10" t="s">
        <v>1924</v>
      </c>
    </row>
    <row r="1952" spans="1:3" s="10" customFormat="1" x14ac:dyDescent="0.25">
      <c r="A1952" s="10" t="str">
        <f>"0611863110050"</f>
        <v>0611863110050</v>
      </c>
      <c r="B1952" s="10" t="str">
        <f>"CR3722"</f>
        <v>CR3722</v>
      </c>
      <c r="C1952" s="10" t="s">
        <v>1925</v>
      </c>
    </row>
    <row r="1953" spans="1:3" s="10" customFormat="1" x14ac:dyDescent="0.25">
      <c r="A1953" s="10" t="str">
        <f>"0611863111050"</f>
        <v>0611863111050</v>
      </c>
      <c r="B1953" s="10" t="str">
        <f>"CR3872"</f>
        <v>CR3872</v>
      </c>
      <c r="C1953" s="10" t="s">
        <v>1926</v>
      </c>
    </row>
    <row r="1954" spans="1:3" s="10" customFormat="1" x14ac:dyDescent="0.25">
      <c r="A1954" s="10" t="str">
        <f>"0611863112050"</f>
        <v>0611863112050</v>
      </c>
      <c r="B1954" s="10" t="str">
        <f>"CR3870"</f>
        <v>CR3870</v>
      </c>
      <c r="C1954" s="10" t="s">
        <v>1927</v>
      </c>
    </row>
    <row r="1955" spans="1:3" s="10" customFormat="1" x14ac:dyDescent="0.25">
      <c r="A1955" s="10" t="str">
        <f>"0611863113050"</f>
        <v>0611863113050</v>
      </c>
      <c r="B1955" s="10" t="str">
        <f>"CR3873"</f>
        <v>CR3873</v>
      </c>
      <c r="C1955" s="10" t="s">
        <v>1928</v>
      </c>
    </row>
    <row r="1956" spans="1:3" s="10" customFormat="1" x14ac:dyDescent="0.25">
      <c r="A1956" s="10" t="str">
        <f>"0611863114050"</f>
        <v>0611863114050</v>
      </c>
      <c r="B1956" s="10" t="str">
        <f>"CR3121"</f>
        <v>CR3121</v>
      </c>
      <c r="C1956" s="10" t="s">
        <v>1929</v>
      </c>
    </row>
    <row r="1957" spans="1:3" s="10" customFormat="1" x14ac:dyDescent="0.25">
      <c r="A1957" s="10" t="str">
        <f>"0611863115050"</f>
        <v>0611863115050</v>
      </c>
      <c r="B1957" s="10" t="str">
        <f>"CR2972"</f>
        <v>CR2972</v>
      </c>
      <c r="C1957" s="10" t="s">
        <v>1930</v>
      </c>
    </row>
    <row r="1958" spans="1:3" s="10" customFormat="1" x14ac:dyDescent="0.25">
      <c r="A1958" s="10" t="str">
        <f>"0611863116050"</f>
        <v>0611863116050</v>
      </c>
      <c r="B1958" s="10" t="str">
        <f>"CR3122"</f>
        <v>CR3122</v>
      </c>
      <c r="C1958" s="10" t="s">
        <v>1931</v>
      </c>
    </row>
    <row r="1959" spans="1:3" s="10" customFormat="1" x14ac:dyDescent="0.25">
      <c r="A1959" s="10" t="str">
        <f>"0611863117050"</f>
        <v>0611863117050</v>
      </c>
      <c r="B1959" s="10" t="str">
        <f>"CR5193"</f>
        <v>CR5193</v>
      </c>
      <c r="C1959" s="10" t="s">
        <v>1932</v>
      </c>
    </row>
    <row r="1960" spans="1:3" s="10" customFormat="1" x14ac:dyDescent="0.25">
      <c r="A1960" s="10" t="str">
        <f>"0611863118050"</f>
        <v>0611863118050</v>
      </c>
      <c r="B1960" s="10" t="str">
        <f>"CR5070"</f>
        <v>CR5070</v>
      </c>
      <c r="C1960" s="10" t="s">
        <v>1933</v>
      </c>
    </row>
    <row r="1961" spans="1:3" s="10" customFormat="1" x14ac:dyDescent="0.25">
      <c r="A1961" s="10" t="str">
        <f>"0611863119050"</f>
        <v>0611863119050</v>
      </c>
      <c r="B1961" s="10" t="str">
        <f>"CR5040"</f>
        <v>CR5040</v>
      </c>
      <c r="C1961" s="10" t="s">
        <v>1934</v>
      </c>
    </row>
    <row r="1962" spans="1:3" s="10" customFormat="1" x14ac:dyDescent="0.25">
      <c r="A1962" s="10" t="str">
        <f>"0611863120050"</f>
        <v>0611863120050</v>
      </c>
      <c r="B1962" s="10" t="str">
        <f>"CR4962"</f>
        <v>CR4962</v>
      </c>
      <c r="C1962" s="10" t="s">
        <v>1935</v>
      </c>
    </row>
    <row r="1963" spans="1:3" s="10" customFormat="1" x14ac:dyDescent="0.25">
      <c r="A1963" s="10" t="str">
        <f>"0611863121050"</f>
        <v>0611863121050</v>
      </c>
      <c r="B1963" s="10" t="str">
        <f>"CR5194"</f>
        <v>CR5194</v>
      </c>
      <c r="C1963" s="10" t="s">
        <v>1936</v>
      </c>
    </row>
    <row r="1964" spans="1:3" s="10" customFormat="1" x14ac:dyDescent="0.25">
      <c r="A1964" s="10" t="str">
        <f>"0611863123050"</f>
        <v>0611863123050</v>
      </c>
      <c r="B1964" s="10" t="str">
        <f>"CR5039"</f>
        <v>CR5039</v>
      </c>
      <c r="C1964" s="10" t="s">
        <v>1937</v>
      </c>
    </row>
    <row r="1965" spans="1:3" s="10" customFormat="1" x14ac:dyDescent="0.25">
      <c r="A1965" s="10" t="str">
        <f>"0611863124050"</f>
        <v>0611863124050</v>
      </c>
      <c r="B1965" s="10" t="str">
        <f>"CR4964"</f>
        <v>CR4964</v>
      </c>
      <c r="C1965" s="10" t="s">
        <v>1938</v>
      </c>
    </row>
    <row r="1966" spans="1:3" s="10" customFormat="1" x14ac:dyDescent="0.25">
      <c r="A1966" s="10" t="str">
        <f>"0611863125050"</f>
        <v>0611863125050</v>
      </c>
      <c r="B1966" s="10" t="str">
        <f>"CR4965"</f>
        <v>CR4965</v>
      </c>
      <c r="C1966" s="10" t="s">
        <v>1939</v>
      </c>
    </row>
    <row r="1967" spans="1:3" s="10" customFormat="1" x14ac:dyDescent="0.25">
      <c r="A1967" s="10" t="str">
        <f>"0611863126050"</f>
        <v>0611863126050</v>
      </c>
      <c r="B1967" s="10" t="str">
        <f>"CR4966"</f>
        <v>CR4966</v>
      </c>
      <c r="C1967" s="10" t="s">
        <v>1940</v>
      </c>
    </row>
    <row r="1968" spans="1:3" s="10" customFormat="1" x14ac:dyDescent="0.25">
      <c r="A1968" s="10" t="str">
        <f>"0611893620050"</f>
        <v>0611893620050</v>
      </c>
      <c r="B1968" s="10" t="str">
        <f>"CR5444"</f>
        <v>CR5444</v>
      </c>
      <c r="C1968" s="10" t="s">
        <v>1941</v>
      </c>
    </row>
    <row r="1969" spans="1:3" s="10" customFormat="1" x14ac:dyDescent="0.25">
      <c r="A1969" s="10" t="str">
        <f>"0611863127050"</f>
        <v>0611863127050</v>
      </c>
      <c r="B1969" s="10" t="str">
        <f>"CR5031"</f>
        <v>CR5031</v>
      </c>
      <c r="C1969" s="10" t="s">
        <v>1942</v>
      </c>
    </row>
    <row r="1970" spans="1:3" s="10" customFormat="1" x14ac:dyDescent="0.25">
      <c r="A1970" s="10" t="str">
        <f>"0611863138050"</f>
        <v>0611863138050</v>
      </c>
      <c r="B1970" s="10" t="str">
        <f>"CR3384"</f>
        <v>CR3384</v>
      </c>
      <c r="C1970" s="10" t="s">
        <v>1945</v>
      </c>
    </row>
    <row r="1971" spans="1:3" s="10" customFormat="1" x14ac:dyDescent="0.25">
      <c r="A1971" s="10" t="str">
        <f>"0611863135050"</f>
        <v>0611863135050</v>
      </c>
      <c r="B1971" s="10" t="str">
        <f>"CR4140"</f>
        <v>CR4140</v>
      </c>
      <c r="C1971" s="10" t="s">
        <v>1943</v>
      </c>
    </row>
    <row r="1972" spans="1:3" s="10" customFormat="1" x14ac:dyDescent="0.25">
      <c r="A1972" s="10" t="str">
        <f>"0611863136050"</f>
        <v>0611863136050</v>
      </c>
      <c r="B1972" s="10" t="str">
        <f>"CR2369"</f>
        <v>CR2369</v>
      </c>
      <c r="C1972" s="10" t="s">
        <v>1944</v>
      </c>
    </row>
    <row r="1973" spans="1:3" s="10" customFormat="1" x14ac:dyDescent="0.25">
      <c r="A1973" s="10" t="str">
        <f>"0611863139050"</f>
        <v>0611863139050</v>
      </c>
      <c r="B1973" s="10" t="str">
        <f>"CR2975"</f>
        <v>CR2975</v>
      </c>
      <c r="C1973" s="10" t="s">
        <v>1946</v>
      </c>
    </row>
    <row r="1974" spans="1:3" s="10" customFormat="1" x14ac:dyDescent="0.25">
      <c r="A1974" s="10" t="str">
        <f>"0611863140100"</f>
        <v>0611863140100</v>
      </c>
      <c r="B1974" s="10" t="str">
        <f>"CN5227"</f>
        <v>CN5227</v>
      </c>
      <c r="C1974" s="10" t="s">
        <v>1947</v>
      </c>
    </row>
    <row r="1975" spans="1:3" s="10" customFormat="1" x14ac:dyDescent="0.25">
      <c r="A1975" s="10" t="str">
        <f>"0611863143100"</f>
        <v>0611863143100</v>
      </c>
      <c r="B1975" s="10" t="str">
        <f>"CN5220"</f>
        <v>CN5220</v>
      </c>
      <c r="C1975" s="10" t="s">
        <v>1948</v>
      </c>
    </row>
    <row r="1976" spans="1:3" s="10" customFormat="1" x14ac:dyDescent="0.25">
      <c r="A1976" s="10" t="str">
        <f>"0611863144100"</f>
        <v>0611863144100</v>
      </c>
      <c r="B1976" s="10" t="str">
        <f>"CN2377"</f>
        <v>CN2377</v>
      </c>
      <c r="C1976" s="10" t="s">
        <v>1949</v>
      </c>
    </row>
    <row r="1977" spans="1:3" s="10" customFormat="1" x14ac:dyDescent="0.25">
      <c r="A1977" s="10" t="str">
        <f>"0611863145050"</f>
        <v>0611863145050</v>
      </c>
      <c r="B1977" s="10" t="str">
        <f>"CR4347"</f>
        <v>CR4347</v>
      </c>
      <c r="C1977" s="10" t="s">
        <v>1950</v>
      </c>
    </row>
    <row r="1978" spans="1:3" s="10" customFormat="1" x14ac:dyDescent="0.25">
      <c r="A1978" s="10" t="str">
        <f>"0611863146100"</f>
        <v>0611863146100</v>
      </c>
      <c r="B1978" s="10" t="str">
        <f>"CN5225"</f>
        <v>CN5225</v>
      </c>
      <c r="C1978" s="10" t="s">
        <v>1951</v>
      </c>
    </row>
    <row r="1979" spans="1:3" s="10" customFormat="1" x14ac:dyDescent="0.25">
      <c r="A1979" s="10" t="str">
        <f>"0611863147100"</f>
        <v>0611863147100</v>
      </c>
      <c r="B1979" s="10" t="str">
        <f>"CN5236"</f>
        <v>CN5236</v>
      </c>
      <c r="C1979" s="10" t="s">
        <v>1952</v>
      </c>
    </row>
    <row r="1980" spans="1:3" s="10" customFormat="1" x14ac:dyDescent="0.25">
      <c r="A1980" s="10" t="str">
        <f>"0611863149100"</f>
        <v>0611863149100</v>
      </c>
      <c r="B1980" s="10" t="str">
        <f>"CN5237"</f>
        <v>CN5237</v>
      </c>
      <c r="C1980" s="10" t="s">
        <v>1953</v>
      </c>
    </row>
    <row r="1981" spans="1:3" s="10" customFormat="1" x14ac:dyDescent="0.25">
      <c r="A1981" s="10" t="str">
        <f>"0611863150050"</f>
        <v>0611863150050</v>
      </c>
      <c r="B1981" s="10" t="str">
        <f>"CR4364"</f>
        <v>CR4364</v>
      </c>
      <c r="C1981" s="10" t="s">
        <v>1954</v>
      </c>
    </row>
    <row r="1982" spans="1:3" s="10" customFormat="1" x14ac:dyDescent="0.25">
      <c r="A1982" s="10" t="str">
        <f>"0611863151100"</f>
        <v>0611863151100</v>
      </c>
      <c r="B1982" s="10" t="str">
        <f>"CN5221"</f>
        <v>CN5221</v>
      </c>
      <c r="C1982" s="10" t="s">
        <v>1955</v>
      </c>
    </row>
    <row r="1983" spans="1:3" s="10" customFormat="1" x14ac:dyDescent="0.25">
      <c r="A1983" s="10" t="str">
        <f>"0611863152050"</f>
        <v>0611863152050</v>
      </c>
      <c r="B1983" s="10" t="str">
        <f>"CR4351"</f>
        <v>CR4351</v>
      </c>
      <c r="C1983" s="10" t="s">
        <v>1956</v>
      </c>
    </row>
    <row r="1984" spans="1:3" s="10" customFormat="1" x14ac:dyDescent="0.25">
      <c r="A1984" s="10" t="str">
        <f>"0611893621100"</f>
        <v>0611893621100</v>
      </c>
      <c r="B1984" s="10" t="str">
        <f>"CN5442"</f>
        <v>CN5442</v>
      </c>
      <c r="C1984" s="10" t="s">
        <v>1957</v>
      </c>
    </row>
    <row r="1985" spans="1:3" s="10" customFormat="1" x14ac:dyDescent="0.25">
      <c r="A1985" s="10" t="str">
        <f>"0611863157100"</f>
        <v>0611863157100</v>
      </c>
      <c r="B1985" s="10" t="str">
        <f>"CN2310"</f>
        <v>CN2310</v>
      </c>
      <c r="C1985" s="10" t="s">
        <v>1958</v>
      </c>
    </row>
    <row r="1986" spans="1:3" s="10" customFormat="1" x14ac:dyDescent="0.25">
      <c r="A1986" s="10" t="str">
        <f>"0611863158100"</f>
        <v>0611863158100</v>
      </c>
      <c r="B1986" s="10" t="str">
        <f>"CN2311"</f>
        <v>CN2311</v>
      </c>
      <c r="C1986" s="10" t="s">
        <v>1959</v>
      </c>
    </row>
    <row r="1987" spans="1:3" s="10" customFormat="1" x14ac:dyDescent="0.25">
      <c r="A1987" s="10" t="str">
        <f>"0611863160100"</f>
        <v>0611863160100</v>
      </c>
      <c r="B1987" s="10" t="str">
        <f>"CN5226"</f>
        <v>CN5226</v>
      </c>
      <c r="C1987" s="10" t="s">
        <v>1960</v>
      </c>
    </row>
    <row r="1988" spans="1:3" s="10" customFormat="1" x14ac:dyDescent="0.25">
      <c r="A1988" s="10" t="str">
        <f>"0611884289100"</f>
        <v>0611884289100</v>
      </c>
      <c r="B1988" s="10" t="str">
        <f>"CN2376"</f>
        <v>CN2376</v>
      </c>
      <c r="C1988" s="10" t="s">
        <v>1961</v>
      </c>
    </row>
    <row r="1989" spans="1:3" s="10" customFormat="1" x14ac:dyDescent="0.25">
      <c r="A1989" s="10" t="str">
        <f>"0611863163100"</f>
        <v>0611863163100</v>
      </c>
      <c r="B1989" s="10" t="str">
        <f>"CN5228"</f>
        <v>CN5228</v>
      </c>
      <c r="C1989" s="10" t="s">
        <v>1964</v>
      </c>
    </row>
    <row r="1990" spans="1:3" s="10" customFormat="1" x14ac:dyDescent="0.25">
      <c r="A1990" s="10" t="str">
        <f>"0611863172100"</f>
        <v>0611863172100</v>
      </c>
      <c r="B1990" s="10" t="str">
        <f>"CN5230"</f>
        <v>CN5230</v>
      </c>
      <c r="C1990" s="10" t="s">
        <v>1974</v>
      </c>
    </row>
    <row r="1991" spans="1:3" s="10" customFormat="1" x14ac:dyDescent="0.25">
      <c r="A1991" s="10" t="str">
        <f>"0611863161100"</f>
        <v>0611863161100</v>
      </c>
      <c r="B1991" s="10" t="str">
        <f>"CN5231"</f>
        <v>CN5231</v>
      </c>
      <c r="C1991" s="10" t="s">
        <v>1962</v>
      </c>
    </row>
    <row r="1992" spans="1:3" s="10" customFormat="1" x14ac:dyDescent="0.25">
      <c r="A1992" s="10" t="str">
        <f>"0611863173050"</f>
        <v>0611863173050</v>
      </c>
      <c r="B1992" s="10" t="str">
        <f>"CR4356"</f>
        <v>CR4356</v>
      </c>
      <c r="C1992" s="10" t="s">
        <v>1975</v>
      </c>
    </row>
    <row r="1993" spans="1:3" s="10" customFormat="1" x14ac:dyDescent="0.25">
      <c r="A1993" s="10" t="str">
        <f>"0611863162100"</f>
        <v>0611863162100</v>
      </c>
      <c r="B1993" s="10" t="str">
        <f>"CN5232"</f>
        <v>CN5232</v>
      </c>
      <c r="C1993" s="10" t="s">
        <v>1963</v>
      </c>
    </row>
    <row r="1994" spans="1:3" s="10" customFormat="1" x14ac:dyDescent="0.25">
      <c r="A1994" s="10" t="str">
        <f>"0611863174050"</f>
        <v>0611863174050</v>
      </c>
      <c r="B1994" s="10" t="str">
        <f>"CR4357"</f>
        <v>CR4357</v>
      </c>
      <c r="C1994" s="10" t="s">
        <v>1976</v>
      </c>
    </row>
    <row r="1995" spans="1:3" s="10" customFormat="1" x14ac:dyDescent="0.25">
      <c r="A1995" s="10" t="str">
        <f>"0611893622100"</f>
        <v>0611893622100</v>
      </c>
      <c r="B1995" s="10" t="str">
        <f>"CN5458"</f>
        <v>CN5458</v>
      </c>
      <c r="C1995" s="10" t="s">
        <v>1965</v>
      </c>
    </row>
    <row r="1996" spans="1:3" s="10" customFormat="1" x14ac:dyDescent="0.25">
      <c r="A1996" s="10" t="str">
        <f>"0611863165100"</f>
        <v>0611863165100</v>
      </c>
      <c r="B1996" s="10" t="str">
        <f>"CN5216"</f>
        <v>CN5216</v>
      </c>
      <c r="C1996" s="10" t="s">
        <v>1966</v>
      </c>
    </row>
    <row r="1997" spans="1:3" s="10" customFormat="1" x14ac:dyDescent="0.25">
      <c r="A1997" s="10" t="str">
        <f>"0611863166100"</f>
        <v>0611863166100</v>
      </c>
      <c r="B1997" s="10" t="str">
        <f>"CN5217"</f>
        <v>CN5217</v>
      </c>
      <c r="C1997" s="10" t="s">
        <v>1967</v>
      </c>
    </row>
    <row r="1998" spans="1:3" s="10" customFormat="1" x14ac:dyDescent="0.25">
      <c r="A1998" s="10" t="str">
        <f>"0611863167100"</f>
        <v>0611863167100</v>
      </c>
      <c r="B1998" s="10" t="str">
        <f>"CN5218"</f>
        <v>CN5218</v>
      </c>
      <c r="C1998" s="10" t="s">
        <v>1968</v>
      </c>
    </row>
    <row r="1999" spans="1:3" s="10" customFormat="1" x14ac:dyDescent="0.25">
      <c r="A1999" s="10" t="str">
        <f>"0611863168100"</f>
        <v>0611863168100</v>
      </c>
      <c r="B1999" s="10" t="str">
        <f>"CN5219"</f>
        <v>CN5219</v>
      </c>
      <c r="C1999" s="10" t="s">
        <v>1969</v>
      </c>
    </row>
    <row r="2000" spans="1:3" s="10" customFormat="1" x14ac:dyDescent="0.25">
      <c r="A2000" s="10" t="str">
        <f>"0611893623100"</f>
        <v>0611893623100</v>
      </c>
      <c r="B2000" s="10" t="str">
        <f>"CN2484"</f>
        <v>CN2484</v>
      </c>
      <c r="C2000" s="10" t="s">
        <v>1970</v>
      </c>
    </row>
    <row r="2001" spans="1:3" s="10" customFormat="1" x14ac:dyDescent="0.25">
      <c r="A2001" s="10" t="str">
        <f>"0611863159100"</f>
        <v>0611863159100</v>
      </c>
      <c r="B2001" s="10" t="str">
        <f>"CN2312"</f>
        <v>CN2312</v>
      </c>
      <c r="C2001" s="10" t="s">
        <v>1971</v>
      </c>
    </row>
    <row r="2002" spans="1:3" s="10" customFormat="1" x14ac:dyDescent="0.25">
      <c r="A2002" s="10" t="str">
        <f>"0611863169100"</f>
        <v>0611863169100</v>
      </c>
      <c r="B2002" s="10" t="str">
        <f>"CN5222"</f>
        <v>CN5222</v>
      </c>
      <c r="C2002" s="10" t="s">
        <v>1972</v>
      </c>
    </row>
    <row r="2003" spans="1:3" s="10" customFormat="1" x14ac:dyDescent="0.25">
      <c r="A2003" s="10" t="str">
        <f>"0611863170100"</f>
        <v>0611863170100</v>
      </c>
      <c r="B2003" s="10" t="str">
        <f>"CN5235"</f>
        <v>CN5235</v>
      </c>
      <c r="C2003" s="10" t="s">
        <v>1973</v>
      </c>
    </row>
    <row r="2004" spans="1:3" s="10" customFormat="1" x14ac:dyDescent="0.25">
      <c r="A2004" s="10" t="str">
        <f>"0611863177100"</f>
        <v>0611863177100</v>
      </c>
      <c r="B2004" s="10" t="str">
        <f>"CN5238"</f>
        <v>CN5238</v>
      </c>
      <c r="C2004" s="10" t="s">
        <v>1977</v>
      </c>
    </row>
    <row r="2005" spans="1:3" s="10" customFormat="1" x14ac:dyDescent="0.25">
      <c r="A2005" s="10" t="str">
        <f>"0611863178100"</f>
        <v>0611863178100</v>
      </c>
      <c r="B2005" s="10" t="str">
        <f>"CN5223"</f>
        <v>CN5223</v>
      </c>
      <c r="C2005" s="10" t="s">
        <v>1978</v>
      </c>
    </row>
    <row r="2006" spans="1:3" s="10" customFormat="1" x14ac:dyDescent="0.25">
      <c r="A2006" s="10" t="str">
        <f>"0611863180100"</f>
        <v>0611863180100</v>
      </c>
      <c r="B2006" s="10" t="str">
        <f>"CN5239"</f>
        <v>CN5239</v>
      </c>
      <c r="C2006" s="10" t="s">
        <v>1979</v>
      </c>
    </row>
    <row r="2007" spans="1:3" s="10" customFormat="1" x14ac:dyDescent="0.25">
      <c r="A2007" s="10" t="str">
        <f>"0611863182100"</f>
        <v>0611863182100</v>
      </c>
      <c r="B2007" s="10" t="str">
        <f>"CN5233"</f>
        <v>CN5233</v>
      </c>
      <c r="C2007" s="10" t="s">
        <v>1980</v>
      </c>
    </row>
    <row r="2008" spans="1:3" s="10" customFormat="1" x14ac:dyDescent="0.25">
      <c r="A2008" s="10" t="str">
        <f>"0611863188100"</f>
        <v>0611863188100</v>
      </c>
      <c r="B2008" s="10" t="str">
        <f>"CN5224"</f>
        <v>CN5224</v>
      </c>
      <c r="C2008" s="10" t="s">
        <v>1981</v>
      </c>
    </row>
    <row r="2009" spans="1:3" s="10" customFormat="1" x14ac:dyDescent="0.25">
      <c r="A2009" s="10" t="str">
        <f>"0611863189050"</f>
        <v>0611863189050</v>
      </c>
      <c r="B2009" s="10" t="str">
        <f>"CR4342"</f>
        <v>CR4342</v>
      </c>
      <c r="C2009" s="10" t="s">
        <v>1982</v>
      </c>
    </row>
    <row r="2010" spans="1:3" s="10" customFormat="1" x14ac:dyDescent="0.25">
      <c r="A2010" s="10" t="str">
        <f>"0611863192050"</f>
        <v>0611863192050</v>
      </c>
      <c r="B2010" s="10" t="str">
        <f>"CR3935"</f>
        <v>CR3935</v>
      </c>
      <c r="C2010" s="10" t="s">
        <v>1983</v>
      </c>
    </row>
    <row r="2011" spans="1:3" s="10" customFormat="1" x14ac:dyDescent="0.25">
      <c r="A2011" s="10" t="str">
        <f>"0611863193050"</f>
        <v>0611863193050</v>
      </c>
      <c r="B2011" s="10" t="str">
        <f>"CR3936"</f>
        <v>CR3936</v>
      </c>
      <c r="C2011" s="10" t="s">
        <v>1984</v>
      </c>
    </row>
    <row r="2012" spans="1:3" s="10" customFormat="1" x14ac:dyDescent="0.25">
      <c r="A2012" s="10" t="str">
        <f>"0611863194100"</f>
        <v>0611863194100</v>
      </c>
      <c r="B2012" s="10" t="str">
        <f>"CN5240"</f>
        <v>CN5240</v>
      </c>
      <c r="C2012" s="10" t="s">
        <v>1985</v>
      </c>
    </row>
    <row r="2013" spans="1:3" s="10" customFormat="1" x14ac:dyDescent="0.25">
      <c r="A2013" s="10" t="str">
        <f>"0611863196100"</f>
        <v>0611863196100</v>
      </c>
      <c r="B2013" s="10" t="str">
        <f>"CN5241"</f>
        <v>CN5241</v>
      </c>
      <c r="C2013" s="10" t="s">
        <v>1986</v>
      </c>
    </row>
    <row r="2014" spans="1:3" s="10" customFormat="1" x14ac:dyDescent="0.25">
      <c r="A2014" s="10" t="str">
        <f>"0611863198100"</f>
        <v>0611863198100</v>
      </c>
      <c r="B2014" s="10" t="str">
        <f>"CN5242"</f>
        <v>CN5242</v>
      </c>
      <c r="C2014" s="10" t="s">
        <v>1987</v>
      </c>
    </row>
    <row r="2015" spans="1:3" s="10" customFormat="1" x14ac:dyDescent="0.25">
      <c r="A2015" s="10" t="str">
        <f>"0611863200100"</f>
        <v>0611863200100</v>
      </c>
      <c r="B2015" s="10" t="str">
        <f>"CN5243"</f>
        <v>CN5243</v>
      </c>
      <c r="C2015" s="10" t="s">
        <v>1988</v>
      </c>
    </row>
    <row r="2016" spans="1:3" s="10" customFormat="1" x14ac:dyDescent="0.25">
      <c r="A2016" s="10" t="str">
        <f>"0611863202100"</f>
        <v>0611863202100</v>
      </c>
      <c r="B2016" s="10" t="str">
        <f>"CN5244"</f>
        <v>CN5244</v>
      </c>
      <c r="C2016" s="10" t="s">
        <v>1989</v>
      </c>
    </row>
    <row r="2017" spans="1:3" s="10" customFormat="1" x14ac:dyDescent="0.25">
      <c r="A2017" s="10" t="str">
        <f>"0611863204100"</f>
        <v>0611863204100</v>
      </c>
      <c r="B2017" s="10" t="str">
        <f>"CN5245"</f>
        <v>CN5245</v>
      </c>
      <c r="C2017" s="10" t="s">
        <v>1990</v>
      </c>
    </row>
    <row r="2018" spans="1:3" s="10" customFormat="1" x14ac:dyDescent="0.25">
      <c r="A2018" s="10" t="str">
        <f>"0611863205100"</f>
        <v>0611863205100</v>
      </c>
      <c r="B2018" s="10" t="str">
        <f>"CN5252"</f>
        <v>CN5252</v>
      </c>
      <c r="C2018" s="10" t="s">
        <v>1991</v>
      </c>
    </row>
    <row r="2019" spans="1:3" s="10" customFormat="1" x14ac:dyDescent="0.25">
      <c r="A2019" s="10" t="str">
        <f>"0611863207100"</f>
        <v>0611863207100</v>
      </c>
      <c r="B2019" s="10" t="str">
        <f>"CN5251"</f>
        <v>CN5251</v>
      </c>
      <c r="C2019" s="10" t="s">
        <v>1992</v>
      </c>
    </row>
    <row r="2020" spans="1:3" s="10" customFormat="1" x14ac:dyDescent="0.25">
      <c r="A2020" s="10" t="str">
        <f>"0611863208100"</f>
        <v>0611863208100</v>
      </c>
      <c r="B2020" s="10" t="str">
        <f>"CN5246"</f>
        <v>CN5246</v>
      </c>
      <c r="C2020" s="10" t="s">
        <v>1993</v>
      </c>
    </row>
    <row r="2021" spans="1:3" s="10" customFormat="1" x14ac:dyDescent="0.25">
      <c r="A2021" s="10" t="str">
        <f>"0611863209100"</f>
        <v>0611863209100</v>
      </c>
      <c r="B2021" s="10" t="str">
        <f>"CN5247"</f>
        <v>CN5247</v>
      </c>
      <c r="C2021" s="10" t="s">
        <v>1994</v>
      </c>
    </row>
    <row r="2022" spans="1:3" s="10" customFormat="1" x14ac:dyDescent="0.25">
      <c r="A2022" s="10" t="str">
        <f>"0611863210100"</f>
        <v>0611863210100</v>
      </c>
      <c r="B2022" s="10" t="str">
        <f>"CN2378"</f>
        <v>CN2378</v>
      </c>
      <c r="C2022" s="10" t="s">
        <v>1995</v>
      </c>
    </row>
    <row r="2023" spans="1:3" s="10" customFormat="1" x14ac:dyDescent="0.25">
      <c r="A2023" s="10" t="str">
        <f>"0611863211100"</f>
        <v>0611863211100</v>
      </c>
      <c r="B2023" s="10" t="str">
        <f>"CN5248"</f>
        <v>CN5248</v>
      </c>
      <c r="C2023" s="10" t="s">
        <v>1996</v>
      </c>
    </row>
    <row r="2024" spans="1:3" s="10" customFormat="1" x14ac:dyDescent="0.25">
      <c r="A2024" s="10" t="str">
        <f>"0611863212100"</f>
        <v>0611863212100</v>
      </c>
      <c r="B2024" s="10" t="str">
        <f>"CN5249"</f>
        <v>CN5249</v>
      </c>
      <c r="C2024" s="10" t="s">
        <v>1997</v>
      </c>
    </row>
    <row r="2025" spans="1:3" s="10" customFormat="1" x14ac:dyDescent="0.25">
      <c r="A2025" s="10" t="str">
        <f>"0611863213050"</f>
        <v>0611863213050</v>
      </c>
      <c r="B2025" s="10" t="str">
        <f>"CR4871"</f>
        <v>CR4871</v>
      </c>
      <c r="C2025" s="10" t="s">
        <v>1998</v>
      </c>
    </row>
    <row r="2026" spans="1:3" s="10" customFormat="1" x14ac:dyDescent="0.25">
      <c r="A2026" s="10" t="str">
        <f>"0611863214100"</f>
        <v>0611863214100</v>
      </c>
      <c r="B2026" s="10" t="str">
        <f>"CN2379"</f>
        <v>CN2379</v>
      </c>
      <c r="C2026" s="10" t="s">
        <v>1999</v>
      </c>
    </row>
    <row r="2027" spans="1:3" s="10" customFormat="1" x14ac:dyDescent="0.25">
      <c r="A2027" s="10" t="str">
        <f>"0611863215100"</f>
        <v>0611863215100</v>
      </c>
      <c r="B2027" s="10" t="str">
        <f>"CN5250"</f>
        <v>CN5250</v>
      </c>
      <c r="C2027" s="10" t="s">
        <v>2000</v>
      </c>
    </row>
    <row r="2028" spans="1:3" s="10" customFormat="1" x14ac:dyDescent="0.25">
      <c r="A2028" s="10" t="str">
        <f>"0611863216050"</f>
        <v>0611863216050</v>
      </c>
      <c r="B2028" s="10" t="str">
        <f>"CR3803"</f>
        <v>CR3803</v>
      </c>
      <c r="C2028" s="10" t="s">
        <v>2001</v>
      </c>
    </row>
    <row r="2029" spans="1:3" s="10" customFormat="1" x14ac:dyDescent="0.25">
      <c r="A2029" s="10" t="str">
        <f>"0611863220100"</f>
        <v>0611863220100</v>
      </c>
      <c r="B2029" s="10" t="str">
        <f>"CN5254"</f>
        <v>CN5254</v>
      </c>
      <c r="C2029" s="10" t="s">
        <v>2002</v>
      </c>
    </row>
    <row r="2030" spans="1:3" s="10" customFormat="1" x14ac:dyDescent="0.25">
      <c r="A2030" s="10" t="str">
        <f>"0611863221100"</f>
        <v>0611863221100</v>
      </c>
      <c r="B2030" s="10" t="str">
        <f>"CN5253"</f>
        <v>CN5253</v>
      </c>
      <c r="C2030" s="10" t="s">
        <v>2003</v>
      </c>
    </row>
    <row r="2031" spans="1:3" s="10" customFormat="1" x14ac:dyDescent="0.25">
      <c r="A2031" s="10" t="str">
        <f>"0611863222100"</f>
        <v>0611863222100</v>
      </c>
      <c r="B2031" s="10" t="str">
        <f>"CN2313"</f>
        <v>CN2313</v>
      </c>
      <c r="C2031" s="10" t="s">
        <v>2004</v>
      </c>
    </row>
    <row r="2032" spans="1:3" s="10" customFormat="1" x14ac:dyDescent="0.25">
      <c r="A2032" s="10" t="str">
        <f>"0611863223050"</f>
        <v>0611863223050</v>
      </c>
      <c r="B2032" s="10" t="str">
        <f>"CR2653"</f>
        <v>CR2653</v>
      </c>
      <c r="C2032" s="10" t="s">
        <v>2005</v>
      </c>
    </row>
    <row r="2033" spans="1:3" s="10" customFormat="1" x14ac:dyDescent="0.25">
      <c r="A2033" s="10" t="str">
        <f>"0611863224050"</f>
        <v>0611863224050</v>
      </c>
      <c r="B2033" s="10" t="str">
        <f>"CR3723"</f>
        <v>CR3723</v>
      </c>
      <c r="C2033" s="10" t="s">
        <v>2006</v>
      </c>
    </row>
    <row r="2034" spans="1:3" s="10" customFormat="1" x14ac:dyDescent="0.25">
      <c r="A2034" s="10" t="str">
        <f>"0611863225050"</f>
        <v>0611863225050</v>
      </c>
      <c r="B2034" s="10" t="str">
        <f>"CR3123"</f>
        <v>CR3123</v>
      </c>
      <c r="C2034" s="10" t="s">
        <v>2007</v>
      </c>
    </row>
    <row r="2035" spans="1:3" s="10" customFormat="1" x14ac:dyDescent="0.25">
      <c r="A2035" s="10" t="str">
        <f>"0611863226050"</f>
        <v>0611863226050</v>
      </c>
      <c r="B2035" s="10" t="str">
        <f>"CR3124"</f>
        <v>CR3124</v>
      </c>
      <c r="C2035" s="10" t="s">
        <v>2008</v>
      </c>
    </row>
    <row r="2036" spans="1:3" s="10" customFormat="1" x14ac:dyDescent="0.25">
      <c r="A2036" s="10" t="str">
        <f>"0611863227050"</f>
        <v>0611863227050</v>
      </c>
      <c r="B2036" s="10" t="str">
        <f>"CR3126"</f>
        <v>CR3126</v>
      </c>
      <c r="C2036" s="10" t="s">
        <v>2009</v>
      </c>
    </row>
    <row r="2037" spans="1:3" s="10" customFormat="1" x14ac:dyDescent="0.25">
      <c r="A2037" s="10" t="str">
        <f>"0611863228050"</f>
        <v>0611863228050</v>
      </c>
      <c r="B2037" s="10" t="str">
        <f>"CR3127"</f>
        <v>CR3127</v>
      </c>
      <c r="C2037" s="10" t="s">
        <v>2010</v>
      </c>
    </row>
    <row r="2038" spans="1:3" s="10" customFormat="1" x14ac:dyDescent="0.25">
      <c r="A2038" s="10" t="str">
        <f>"0611863229050"</f>
        <v>0611863229050</v>
      </c>
      <c r="B2038" s="10" t="str">
        <f>"CR3128"</f>
        <v>CR3128</v>
      </c>
      <c r="C2038" s="10" t="s">
        <v>2011</v>
      </c>
    </row>
    <row r="2039" spans="1:3" s="10" customFormat="1" x14ac:dyDescent="0.25">
      <c r="A2039" s="10" t="str">
        <f>"0611863232050"</f>
        <v>0611863232050</v>
      </c>
      <c r="B2039" s="10" t="str">
        <f>"CR3385"</f>
        <v>CR3385</v>
      </c>
      <c r="C2039" s="10" t="s">
        <v>2014</v>
      </c>
    </row>
    <row r="2040" spans="1:3" s="10" customFormat="1" x14ac:dyDescent="0.25">
      <c r="A2040" s="10" t="str">
        <f>"0611863233050"</f>
        <v>0611863233050</v>
      </c>
      <c r="B2040" s="10" t="str">
        <f>"CR2371"</f>
        <v>CR2371</v>
      </c>
      <c r="C2040" s="10" t="s">
        <v>2015</v>
      </c>
    </row>
    <row r="2041" spans="1:3" s="10" customFormat="1" x14ac:dyDescent="0.25">
      <c r="A2041" s="10" t="str">
        <f>"0611863234050"</f>
        <v>0611863234050</v>
      </c>
      <c r="B2041" s="10" t="str">
        <f>"CR2372"</f>
        <v>CR2372</v>
      </c>
      <c r="C2041" s="10" t="s">
        <v>2016</v>
      </c>
    </row>
    <row r="2042" spans="1:3" s="10" customFormat="1" x14ac:dyDescent="0.25">
      <c r="A2042" s="10" t="str">
        <f>"0611863235050"</f>
        <v>0611863235050</v>
      </c>
      <c r="B2042" s="10" t="str">
        <f>"CR4073"</f>
        <v>CR4073</v>
      </c>
      <c r="C2042" s="10" t="s">
        <v>2017</v>
      </c>
    </row>
    <row r="2043" spans="1:3" s="10" customFormat="1" x14ac:dyDescent="0.25">
      <c r="A2043" s="10" t="str">
        <f>"0611863236050"</f>
        <v>0611863236050</v>
      </c>
      <c r="B2043" s="10" t="str">
        <f>"CR4967"</f>
        <v>CR4967</v>
      </c>
      <c r="C2043" s="10" t="s">
        <v>2018</v>
      </c>
    </row>
    <row r="2044" spans="1:3" s="10" customFormat="1" x14ac:dyDescent="0.25">
      <c r="A2044" s="10" t="str">
        <f>"0611863237050"</f>
        <v>0611863237050</v>
      </c>
      <c r="B2044" s="10" t="str">
        <f>"CR4968"</f>
        <v>CR4968</v>
      </c>
      <c r="C2044" s="10" t="s">
        <v>2019</v>
      </c>
    </row>
    <row r="2045" spans="1:3" s="10" customFormat="1" x14ac:dyDescent="0.25">
      <c r="A2045" s="10" t="str">
        <f>"0611863238050"</f>
        <v>0611863238050</v>
      </c>
      <c r="B2045" s="10" t="str">
        <f>"CR4969"</f>
        <v>CR4969</v>
      </c>
      <c r="C2045" s="10" t="s">
        <v>2020</v>
      </c>
    </row>
    <row r="2046" spans="1:3" s="10" customFormat="1" x14ac:dyDescent="0.25">
      <c r="A2046" s="10" t="str">
        <f>"0611863239050"</f>
        <v>0611863239050</v>
      </c>
      <c r="B2046" s="10" t="str">
        <f>"CR4970"</f>
        <v>CR4970</v>
      </c>
      <c r="C2046" s="10" t="s">
        <v>2021</v>
      </c>
    </row>
    <row r="2047" spans="1:3" s="10" customFormat="1" x14ac:dyDescent="0.25">
      <c r="A2047" s="10" t="str">
        <f>"0611863240050"</f>
        <v>0611863240050</v>
      </c>
      <c r="B2047" s="10" t="str">
        <f>"CR4971"</f>
        <v>CR4971</v>
      </c>
      <c r="C2047" s="10" t="s">
        <v>2022</v>
      </c>
    </row>
    <row r="2048" spans="1:3" s="10" customFormat="1" x14ac:dyDescent="0.25">
      <c r="A2048" s="10" t="str">
        <f>"0611863241050"</f>
        <v>0611863241050</v>
      </c>
      <c r="B2048" s="10" t="str">
        <f>"CR4972"</f>
        <v>CR4972</v>
      </c>
      <c r="C2048" s="10" t="s">
        <v>2023</v>
      </c>
    </row>
    <row r="2049" spans="1:3" s="10" customFormat="1" x14ac:dyDescent="0.25">
      <c r="A2049" s="10" t="str">
        <f>"0611863242050"</f>
        <v>0611863242050</v>
      </c>
      <c r="B2049" s="10" t="str">
        <f>"CR2374"</f>
        <v>CR2374</v>
      </c>
      <c r="C2049" s="10" t="s">
        <v>2024</v>
      </c>
    </row>
    <row r="2050" spans="1:3" s="10" customFormat="1" x14ac:dyDescent="0.25">
      <c r="A2050" s="10" t="str">
        <f>"0611863243050"</f>
        <v>0611863243050</v>
      </c>
      <c r="B2050" s="10" t="str">
        <f>"CR2375"</f>
        <v>CR2375</v>
      </c>
      <c r="C2050" s="10" t="s">
        <v>2025</v>
      </c>
    </row>
    <row r="2051" spans="1:3" s="10" customFormat="1" x14ac:dyDescent="0.25">
      <c r="A2051" s="10" t="str">
        <f>"0611863244050"</f>
        <v>0611863244050</v>
      </c>
      <c r="B2051" s="10" t="str">
        <f>"CR3270"</f>
        <v>CR3270</v>
      </c>
      <c r="C2051" s="10" t="s">
        <v>2026</v>
      </c>
    </row>
    <row r="2052" spans="1:3" s="10" customFormat="1" x14ac:dyDescent="0.25">
      <c r="A2052" s="10" t="str">
        <f>"0611863245050"</f>
        <v>0611863245050</v>
      </c>
      <c r="B2052" s="10" t="str">
        <f>"CR2976"</f>
        <v>CR2976</v>
      </c>
      <c r="C2052" s="10" t="s">
        <v>2027</v>
      </c>
    </row>
    <row r="2053" spans="1:3" s="10" customFormat="1" x14ac:dyDescent="0.25">
      <c r="A2053" s="10" t="str">
        <f>"0611863246050"</f>
        <v>0611863246050</v>
      </c>
      <c r="B2053" s="10" t="str">
        <f>"CR2376"</f>
        <v>CR2376</v>
      </c>
      <c r="C2053" s="10" t="s">
        <v>2028</v>
      </c>
    </row>
    <row r="2054" spans="1:3" s="10" customFormat="1" x14ac:dyDescent="0.25">
      <c r="A2054" s="10" t="str">
        <f>"0611863247050"</f>
        <v>0611863247050</v>
      </c>
      <c r="B2054" s="10" t="str">
        <f>"CR5195"</f>
        <v>CR5195</v>
      </c>
      <c r="C2054" s="10" t="s">
        <v>2029</v>
      </c>
    </row>
    <row r="2055" spans="1:3" s="10" customFormat="1" x14ac:dyDescent="0.25">
      <c r="A2055" s="10" t="str">
        <f>"0611863248050"</f>
        <v>0611863248050</v>
      </c>
      <c r="B2055" s="10" t="str">
        <f>"CR5196"</f>
        <v>CR5196</v>
      </c>
      <c r="C2055" s="10" t="s">
        <v>2030</v>
      </c>
    </row>
    <row r="2056" spans="1:3" s="10" customFormat="1" x14ac:dyDescent="0.25">
      <c r="A2056" s="10" t="str">
        <f>"0611863230050"</f>
        <v>0611863230050</v>
      </c>
      <c r="B2056" s="10" t="str">
        <f>"CR3304"</f>
        <v>CR3304</v>
      </c>
      <c r="C2056" s="10" t="s">
        <v>2012</v>
      </c>
    </row>
    <row r="2057" spans="1:3" s="10" customFormat="1" x14ac:dyDescent="0.25">
      <c r="A2057" s="10" t="str">
        <f>"0611863231050"</f>
        <v>0611863231050</v>
      </c>
      <c r="B2057" s="10" t="str">
        <f>"CR2654"</f>
        <v>CR2654</v>
      </c>
      <c r="C2057" s="10" t="s">
        <v>2013</v>
      </c>
    </row>
    <row r="2058" spans="1:3" s="10" customFormat="1" x14ac:dyDescent="0.25">
      <c r="A2058" s="10" t="str">
        <f>"0611863249050"</f>
        <v>0611863249050</v>
      </c>
      <c r="B2058" s="10" t="str">
        <f>"CR4973"</f>
        <v>CR4973</v>
      </c>
      <c r="C2058" s="10" t="s">
        <v>2031</v>
      </c>
    </row>
    <row r="2059" spans="1:3" s="10" customFormat="1" x14ac:dyDescent="0.25">
      <c r="A2059" s="10" t="str">
        <f>"0611863250050"</f>
        <v>0611863250050</v>
      </c>
      <c r="B2059" s="10" t="str">
        <f>"CR3305"</f>
        <v>CR3305</v>
      </c>
      <c r="C2059" s="10" t="s">
        <v>2032</v>
      </c>
    </row>
    <row r="2060" spans="1:3" s="10" customFormat="1" x14ac:dyDescent="0.25">
      <c r="A2060" s="10" t="str">
        <f>"0611863271050"</f>
        <v>0611863271050</v>
      </c>
      <c r="B2060" s="10" t="str">
        <f>"CR2378"</f>
        <v>CR2378</v>
      </c>
      <c r="C2060" s="10" t="s">
        <v>2033</v>
      </c>
    </row>
    <row r="2061" spans="1:3" s="10" customFormat="1" x14ac:dyDescent="0.25">
      <c r="A2061" s="10" t="str">
        <f>"0611863272050"</f>
        <v>0611863272050</v>
      </c>
      <c r="B2061" s="10" t="str">
        <f>"CR2379"</f>
        <v>CR2379</v>
      </c>
      <c r="C2061" s="10" t="s">
        <v>2034</v>
      </c>
    </row>
    <row r="2062" spans="1:3" s="10" customFormat="1" x14ac:dyDescent="0.25">
      <c r="A2062" s="10" t="str">
        <f>"0611906583050"</f>
        <v>0611906583050</v>
      </c>
      <c r="B2062" s="10" t="str">
        <f>"CR5497"</f>
        <v>CR5497</v>
      </c>
      <c r="C2062" s="10" t="s">
        <v>2035</v>
      </c>
    </row>
    <row r="2063" spans="1:3" s="10" customFormat="1" x14ac:dyDescent="0.25">
      <c r="A2063" s="10" t="str">
        <f>"0611863273050"</f>
        <v>0611863273050</v>
      </c>
      <c r="B2063" s="10" t="str">
        <f>"CR2380"</f>
        <v>CR2380</v>
      </c>
      <c r="C2063" s="10" t="s">
        <v>2036</v>
      </c>
    </row>
    <row r="2064" spans="1:3" s="10" customFormat="1" x14ac:dyDescent="0.25">
      <c r="A2064" s="10" t="str">
        <f>"0611863274050"</f>
        <v>0611863274050</v>
      </c>
      <c r="B2064" s="10" t="str">
        <f>"CR3686"</f>
        <v>CR3686</v>
      </c>
      <c r="C2064" s="10" t="s">
        <v>2037</v>
      </c>
    </row>
    <row r="2065" spans="1:3" s="10" customFormat="1" x14ac:dyDescent="0.25">
      <c r="A2065" s="10" t="str">
        <f>"0611863275050"</f>
        <v>0611863275050</v>
      </c>
      <c r="B2065" s="10" t="str">
        <f>"CR2381"</f>
        <v>CR2381</v>
      </c>
      <c r="C2065" s="10" t="s">
        <v>2038</v>
      </c>
    </row>
    <row r="2066" spans="1:3" s="10" customFormat="1" x14ac:dyDescent="0.25">
      <c r="A2066" s="10" t="str">
        <f>"0611863276050"</f>
        <v>0611863276050</v>
      </c>
      <c r="B2066" s="10" t="str">
        <f>"CR2382"</f>
        <v>CR2382</v>
      </c>
      <c r="C2066" s="10" t="s">
        <v>2039</v>
      </c>
    </row>
    <row r="2067" spans="1:3" s="10" customFormat="1" x14ac:dyDescent="0.25">
      <c r="A2067" s="10" t="str">
        <f>"0611863277050"</f>
        <v>0611863277050</v>
      </c>
      <c r="B2067" s="10" t="str">
        <f>"CR2383"</f>
        <v>CR2383</v>
      </c>
      <c r="C2067" s="10" t="s">
        <v>2040</v>
      </c>
    </row>
    <row r="2068" spans="1:3" s="10" customFormat="1" x14ac:dyDescent="0.25">
      <c r="A2068" s="10" t="str">
        <f>"0611863278050"</f>
        <v>0611863278050</v>
      </c>
      <c r="B2068" s="10" t="str">
        <f>"CR2978"</f>
        <v>CR2978</v>
      </c>
      <c r="C2068" s="10" t="s">
        <v>2041</v>
      </c>
    </row>
    <row r="2069" spans="1:3" s="10" customFormat="1" x14ac:dyDescent="0.25">
      <c r="A2069" s="10" t="str">
        <f>"0611863279100"</f>
        <v>0611863279100</v>
      </c>
      <c r="B2069" s="10" t="str">
        <f>"CN5256"</f>
        <v>CN5256</v>
      </c>
      <c r="C2069" s="10" t="s">
        <v>2042</v>
      </c>
    </row>
    <row r="2070" spans="1:3" s="10" customFormat="1" x14ac:dyDescent="0.25">
      <c r="A2070" s="10" t="str">
        <f>"0611863280050"</f>
        <v>0611863280050</v>
      </c>
      <c r="B2070" s="10" t="str">
        <f>"CR2385"</f>
        <v>CR2385</v>
      </c>
      <c r="C2070" s="10" t="s">
        <v>2043</v>
      </c>
    </row>
    <row r="2071" spans="1:3" s="10" customFormat="1" x14ac:dyDescent="0.25">
      <c r="A2071" s="10" t="str">
        <f>"0611863281050"</f>
        <v>0611863281050</v>
      </c>
      <c r="B2071" s="10" t="str">
        <f>"CR2385"</f>
        <v>CR2385</v>
      </c>
      <c r="C2071" s="10" t="s">
        <v>2044</v>
      </c>
    </row>
    <row r="2072" spans="1:3" s="10" customFormat="1" x14ac:dyDescent="0.25">
      <c r="A2072" s="10" t="str">
        <f>"0611863282100"</f>
        <v>0611863282100</v>
      </c>
      <c r="B2072" s="10" t="str">
        <f>"CN5255"</f>
        <v>CN5255</v>
      </c>
      <c r="C2072" s="10" t="s">
        <v>2045</v>
      </c>
    </row>
    <row r="2073" spans="1:3" s="10" customFormat="1" x14ac:dyDescent="0.25">
      <c r="A2073" s="10" t="str">
        <f>"0611863283050"</f>
        <v>0611863283050</v>
      </c>
      <c r="B2073" s="10" t="str">
        <f>"CR2979"</f>
        <v>CR2979</v>
      </c>
      <c r="C2073" s="10" t="s">
        <v>2046</v>
      </c>
    </row>
    <row r="2074" spans="1:3" s="10" customFormat="1" x14ac:dyDescent="0.25">
      <c r="A2074" s="10" t="str">
        <f>"0611863284050"</f>
        <v>0611863284050</v>
      </c>
      <c r="B2074" s="10" t="str">
        <f>"CR4143"</f>
        <v>CR4143</v>
      </c>
      <c r="C2074" s="10" t="s">
        <v>2047</v>
      </c>
    </row>
    <row r="2075" spans="1:3" s="10" customFormat="1" x14ac:dyDescent="0.25">
      <c r="A2075" s="10" t="str">
        <f>"0611863285050"</f>
        <v>0611863285050</v>
      </c>
      <c r="B2075" s="10" t="str">
        <f>"CR2384"</f>
        <v>CR2384</v>
      </c>
      <c r="C2075" s="10" t="s">
        <v>2048</v>
      </c>
    </row>
    <row r="2076" spans="1:3" s="10" customFormat="1" x14ac:dyDescent="0.25">
      <c r="A2076" s="10" t="str">
        <f>"0611893624050"</f>
        <v>0611893624050</v>
      </c>
      <c r="B2076" s="10" t="str">
        <f>"CR5430"</f>
        <v>CR5430</v>
      </c>
      <c r="C2076" s="10" t="s">
        <v>2049</v>
      </c>
    </row>
    <row r="2077" spans="1:3" s="10" customFormat="1" x14ac:dyDescent="0.25">
      <c r="A2077" s="10" t="str">
        <f>"0611893625050"</f>
        <v>0611893625050</v>
      </c>
      <c r="B2077" s="10" t="str">
        <f>"CR5434"</f>
        <v>CR5434</v>
      </c>
      <c r="C2077" s="10" t="s">
        <v>2050</v>
      </c>
    </row>
    <row r="2078" spans="1:3" s="10" customFormat="1" x14ac:dyDescent="0.25">
      <c r="A2078" s="10" t="str">
        <f>"0611893626050"</f>
        <v>0611893626050</v>
      </c>
      <c r="B2078" s="10" t="str">
        <f>"CR5436"</f>
        <v>CR5436</v>
      </c>
      <c r="C2078" s="10" t="s">
        <v>2051</v>
      </c>
    </row>
    <row r="2079" spans="1:3" s="10" customFormat="1" x14ac:dyDescent="0.25">
      <c r="A2079" s="10" t="str">
        <f>"0611893627050"</f>
        <v>0611893627050</v>
      </c>
      <c r="B2079" s="10" t="str">
        <f>"CR5431"</f>
        <v>CR5431</v>
      </c>
      <c r="C2079" s="10" t="s">
        <v>2052</v>
      </c>
    </row>
    <row r="2080" spans="1:3" s="10" customFormat="1" x14ac:dyDescent="0.25">
      <c r="A2080" s="10" t="str">
        <f>"0611863289100"</f>
        <v>0611863289100</v>
      </c>
      <c r="B2080" s="10" t="str">
        <f>"CN5257"</f>
        <v>CN5257</v>
      </c>
      <c r="C2080" s="10" t="s">
        <v>2053</v>
      </c>
    </row>
    <row r="2081" spans="1:3" s="10" customFormat="1" x14ac:dyDescent="0.25">
      <c r="A2081" s="10" t="str">
        <f>"0611893633100"</f>
        <v>0611893633100</v>
      </c>
      <c r="B2081" s="10" t="str">
        <f>"CN5260"</f>
        <v>CN5260</v>
      </c>
      <c r="C2081" s="10" t="s">
        <v>2054</v>
      </c>
    </row>
    <row r="2082" spans="1:3" s="10" customFormat="1" x14ac:dyDescent="0.25">
      <c r="A2082" s="10" t="str">
        <f>"0611893634100"</f>
        <v>0611893634100</v>
      </c>
      <c r="B2082" s="10" t="str">
        <f>"CN5262"</f>
        <v>CN5262</v>
      </c>
      <c r="C2082" s="10" t="s">
        <v>2055</v>
      </c>
    </row>
    <row r="2083" spans="1:3" s="10" customFormat="1" x14ac:dyDescent="0.25">
      <c r="A2083" s="10" t="str">
        <f>"0611862537100"</f>
        <v>0611862537100</v>
      </c>
      <c r="B2083" s="10" t="str">
        <f>"CN5258"</f>
        <v>CN5258</v>
      </c>
      <c r="C2083" s="10" t="s">
        <v>2056</v>
      </c>
    </row>
    <row r="2084" spans="1:3" s="10" customFormat="1" x14ac:dyDescent="0.25">
      <c r="A2084" s="10" t="str">
        <f>"0611893635100"</f>
        <v>0611893635100</v>
      </c>
      <c r="B2084" s="10" t="str">
        <f>"CN5263"</f>
        <v>CN5263</v>
      </c>
      <c r="C2084" s="10" t="s">
        <v>2057</v>
      </c>
    </row>
    <row r="2085" spans="1:3" s="10" customFormat="1" x14ac:dyDescent="0.25">
      <c r="A2085" s="10" t="str">
        <f>"0611893636100"</f>
        <v>0611893636100</v>
      </c>
      <c r="B2085" s="10" t="str">
        <f>"CN5264"</f>
        <v>CN5264</v>
      </c>
      <c r="C2085" s="10" t="s">
        <v>2058</v>
      </c>
    </row>
    <row r="2086" spans="1:3" s="10" customFormat="1" x14ac:dyDescent="0.25">
      <c r="A2086" s="10" t="str">
        <f>"0611862540100"</f>
        <v>0611862540100</v>
      </c>
      <c r="B2086" s="10" t="str">
        <f>"CN5261"</f>
        <v>CN5261</v>
      </c>
      <c r="C2086" s="10" t="s">
        <v>2059</v>
      </c>
    </row>
    <row r="2087" spans="1:3" s="10" customFormat="1" x14ac:dyDescent="0.25">
      <c r="A2087" s="10" t="str">
        <f>"0611862542100"</f>
        <v>0611862542100</v>
      </c>
      <c r="B2087" s="10" t="str">
        <f>"CN5259"</f>
        <v>CN5259</v>
      </c>
      <c r="C2087" s="10" t="s">
        <v>2060</v>
      </c>
    </row>
    <row r="2088" spans="1:3" s="10" customFormat="1" x14ac:dyDescent="0.25">
      <c r="A2088" s="10" t="str">
        <f>"0611863290100"</f>
        <v>0611863290100</v>
      </c>
      <c r="B2088" s="10" t="str">
        <f>"CN5269"</f>
        <v>CN5269</v>
      </c>
      <c r="C2088" s="10" t="s">
        <v>2061</v>
      </c>
    </row>
    <row r="2089" spans="1:3" s="10" customFormat="1" x14ac:dyDescent="0.25">
      <c r="A2089" s="10" t="str">
        <f>"0611863294100"</f>
        <v>0611863294100</v>
      </c>
      <c r="B2089" s="10" t="str">
        <f>"CN5267"</f>
        <v>CN5267</v>
      </c>
      <c r="C2089" s="10" t="s">
        <v>2062</v>
      </c>
    </row>
    <row r="2090" spans="1:3" s="10" customFormat="1" x14ac:dyDescent="0.25">
      <c r="A2090" s="10" t="str">
        <f>"0611863295100"</f>
        <v>0611863295100</v>
      </c>
      <c r="B2090" s="10" t="str">
        <f>"CN5266"</f>
        <v>CN5266</v>
      </c>
      <c r="C2090" s="10" t="s">
        <v>2063</v>
      </c>
    </row>
    <row r="2091" spans="1:3" s="10" customFormat="1" x14ac:dyDescent="0.25">
      <c r="A2091" s="10" t="str">
        <f>"0611863296050"</f>
        <v>0611863296050</v>
      </c>
      <c r="B2091" s="10" t="str">
        <f>"CR3804"</f>
        <v>CR3804</v>
      </c>
      <c r="C2091" s="10" t="s">
        <v>2064</v>
      </c>
    </row>
    <row r="2092" spans="1:3" s="10" customFormat="1" x14ac:dyDescent="0.25">
      <c r="A2092" s="10" t="str">
        <f>"0611863297100"</f>
        <v>0611863297100</v>
      </c>
      <c r="B2092" s="10" t="str">
        <f>"CN5268"</f>
        <v>CN5268</v>
      </c>
      <c r="C2092" s="10" t="s">
        <v>2065</v>
      </c>
    </row>
    <row r="2093" spans="1:3" s="10" customFormat="1" x14ac:dyDescent="0.25">
      <c r="A2093" s="10" t="str">
        <f>"0611863298050"</f>
        <v>0611863298050</v>
      </c>
      <c r="B2093" s="10" t="str">
        <f>"CR3806"</f>
        <v>CR3806</v>
      </c>
      <c r="C2093" s="10" t="s">
        <v>2066</v>
      </c>
    </row>
    <row r="2094" spans="1:3" s="10" customFormat="1" x14ac:dyDescent="0.25">
      <c r="A2094" s="10" t="str">
        <f>"0611863299050"</f>
        <v>0611863299050</v>
      </c>
      <c r="B2094" s="10" t="str">
        <f>"CR3200"</f>
        <v>CR3200</v>
      </c>
      <c r="C2094" s="10" t="s">
        <v>2067</v>
      </c>
    </row>
    <row r="2095" spans="1:3" s="10" customFormat="1" x14ac:dyDescent="0.25">
      <c r="A2095" s="10" t="str">
        <f>"0611863301050"</f>
        <v>0611863301050</v>
      </c>
      <c r="B2095" s="10" t="str">
        <f>"CR2389"</f>
        <v>CR2389</v>
      </c>
      <c r="C2095" s="10" t="s">
        <v>2068</v>
      </c>
    </row>
    <row r="2096" spans="1:3" s="10" customFormat="1" x14ac:dyDescent="0.25">
      <c r="A2096" s="10" t="str">
        <f>"0611863302050"</f>
        <v>0611863302050</v>
      </c>
      <c r="B2096" s="10" t="str">
        <f>"CR5061"</f>
        <v>CR5061</v>
      </c>
      <c r="C2096" s="10" t="s">
        <v>2069</v>
      </c>
    </row>
    <row r="2097" spans="1:3" s="10" customFormat="1" x14ac:dyDescent="0.25">
      <c r="A2097" s="10" t="str">
        <f>"0611863303050"</f>
        <v>0611863303050</v>
      </c>
      <c r="B2097" s="10" t="str">
        <f>"CR5206"</f>
        <v>CR5206</v>
      </c>
      <c r="C2097" s="10" t="s">
        <v>2070</v>
      </c>
    </row>
    <row r="2098" spans="1:3" s="10" customFormat="1" x14ac:dyDescent="0.25">
      <c r="A2098" s="10" t="str">
        <f>"0611863304050"</f>
        <v>0611863304050</v>
      </c>
      <c r="B2098" s="10" t="str">
        <f>"CR5207"</f>
        <v>CR5207</v>
      </c>
      <c r="C2098" s="10" t="s">
        <v>2071</v>
      </c>
    </row>
    <row r="2099" spans="1:3" s="10" customFormat="1" x14ac:dyDescent="0.25">
      <c r="A2099" s="10" t="str">
        <f>"0611863305050"</f>
        <v>0611863305050</v>
      </c>
      <c r="B2099" s="10" t="str">
        <f>"CR5208"</f>
        <v>CR5208</v>
      </c>
      <c r="C2099" s="10" t="s">
        <v>2072</v>
      </c>
    </row>
    <row r="2100" spans="1:3" s="10" customFormat="1" x14ac:dyDescent="0.25">
      <c r="A2100" s="10" t="str">
        <f>"0611863306050"</f>
        <v>0611863306050</v>
      </c>
      <c r="B2100" s="10" t="str">
        <f>"CR2390"</f>
        <v>CR2390</v>
      </c>
      <c r="C2100" s="10" t="s">
        <v>2073</v>
      </c>
    </row>
    <row r="2101" spans="1:3" s="10" customFormat="1" x14ac:dyDescent="0.25">
      <c r="A2101" s="10" t="str">
        <f>"0611863307050"</f>
        <v>0611863307050</v>
      </c>
      <c r="B2101" s="10" t="str">
        <f>"CR2391"</f>
        <v>CR2391</v>
      </c>
      <c r="C2101" s="10" t="s">
        <v>2074</v>
      </c>
    </row>
    <row r="2102" spans="1:3" s="10" customFormat="1" x14ac:dyDescent="0.25">
      <c r="A2102" s="10" t="str">
        <f>"0611863308050"</f>
        <v>0611863308050</v>
      </c>
      <c r="B2102" s="10" t="str">
        <f>"CR3995"</f>
        <v>CR3995</v>
      </c>
      <c r="C2102" s="10" t="s">
        <v>2075</v>
      </c>
    </row>
    <row r="2103" spans="1:3" s="10" customFormat="1" x14ac:dyDescent="0.25">
      <c r="A2103" s="10" t="str">
        <f>"0611863309050"</f>
        <v>0611863309050</v>
      </c>
      <c r="B2103" s="10" t="str">
        <f>"CR2392"</f>
        <v>CR2392</v>
      </c>
      <c r="C2103" s="10" t="s">
        <v>2076</v>
      </c>
    </row>
    <row r="2104" spans="1:3" s="10" customFormat="1" x14ac:dyDescent="0.25">
      <c r="A2104" s="10" t="str">
        <f>"0611863311050"</f>
        <v>0611863311050</v>
      </c>
      <c r="B2104" s="10" t="str">
        <f>"CR5209"</f>
        <v>CR5209</v>
      </c>
      <c r="C2104" s="10" t="s">
        <v>2077</v>
      </c>
    </row>
    <row r="2105" spans="1:3" s="10" customFormat="1" x14ac:dyDescent="0.25">
      <c r="A2105" s="10" t="str">
        <f>"0611863312050"</f>
        <v>0611863312050</v>
      </c>
      <c r="B2105" s="10" t="str">
        <f>"CR4828"</f>
        <v>CR4828</v>
      </c>
      <c r="C2105" s="10" t="s">
        <v>2078</v>
      </c>
    </row>
    <row r="2106" spans="1:3" s="10" customFormat="1" x14ac:dyDescent="0.25">
      <c r="A2106" s="10" t="str">
        <f>"0611863313050"</f>
        <v>0611863313050</v>
      </c>
      <c r="B2106" s="10" t="str">
        <f>"CR4829"</f>
        <v>CR4829</v>
      </c>
      <c r="C2106" s="10" t="s">
        <v>2079</v>
      </c>
    </row>
    <row r="2107" spans="1:3" s="10" customFormat="1" x14ac:dyDescent="0.25">
      <c r="A2107" s="10" t="str">
        <f>"0611863314050"</f>
        <v>0611863314050</v>
      </c>
      <c r="B2107" s="10" t="str">
        <f>"CR4830"</f>
        <v>CR4830</v>
      </c>
      <c r="C2107" s="10" t="s">
        <v>2080</v>
      </c>
    </row>
    <row r="2108" spans="1:3" s="10" customFormat="1" x14ac:dyDescent="0.25">
      <c r="A2108" t="str">
        <f>"0611836892100"</f>
        <v>0611836892100</v>
      </c>
      <c r="B2108" t="str">
        <f>"LQ3758"</f>
        <v>LQ3758</v>
      </c>
      <c r="C2108" t="s">
        <v>2081</v>
      </c>
    </row>
    <row r="2109" spans="1:3" s="10" customFormat="1" x14ac:dyDescent="0.25">
      <c r="A2109" s="10" t="str">
        <f>"0611863315050"</f>
        <v>0611863315050</v>
      </c>
      <c r="B2109" s="10" t="str">
        <f>"CR2984"</f>
        <v>CR2984</v>
      </c>
      <c r="C2109" s="10" t="s">
        <v>2082</v>
      </c>
    </row>
    <row r="2110" spans="1:3" s="10" customFormat="1" x14ac:dyDescent="0.25">
      <c r="A2110" s="10" t="str">
        <f>"0611863316050"</f>
        <v>0611863316050</v>
      </c>
      <c r="B2110" s="10" t="str">
        <f>"CR3447"</f>
        <v>CR3447</v>
      </c>
      <c r="C2110" s="10" t="s">
        <v>2083</v>
      </c>
    </row>
    <row r="2111" spans="1:3" s="10" customFormat="1" x14ac:dyDescent="0.25">
      <c r="A2111" s="10" t="str">
        <f>"0611863317050"</f>
        <v>0611863317050</v>
      </c>
      <c r="B2111" s="10" t="str">
        <f>"CR3549"</f>
        <v>CR3549</v>
      </c>
      <c r="C2111" s="10" t="s">
        <v>2084</v>
      </c>
    </row>
    <row r="2112" spans="1:3" s="10" customFormat="1" x14ac:dyDescent="0.25">
      <c r="A2112" s="10" t="str">
        <f>"0611863318050"</f>
        <v>0611863318050</v>
      </c>
      <c r="B2112" s="10" t="str">
        <f>"CR2980"</f>
        <v>CR2980</v>
      </c>
      <c r="C2112" s="10" t="s">
        <v>2085</v>
      </c>
    </row>
    <row r="2113" spans="1:3" s="10" customFormat="1" x14ac:dyDescent="0.25">
      <c r="A2113" s="10" t="str">
        <f>"0611863319050"</f>
        <v>0611863319050</v>
      </c>
      <c r="B2113" s="10" t="str">
        <f>"CR4831"</f>
        <v>CR4831</v>
      </c>
      <c r="C2113" s="10" t="s">
        <v>2086</v>
      </c>
    </row>
    <row r="2114" spans="1:3" s="10" customFormat="1" x14ac:dyDescent="0.25">
      <c r="A2114" s="10" t="str">
        <f>"0611863320050"</f>
        <v>0611863320050</v>
      </c>
      <c r="B2114" s="10" t="str">
        <f>"CR4832"</f>
        <v>CR4832</v>
      </c>
      <c r="C2114" s="10" t="s">
        <v>2087</v>
      </c>
    </row>
    <row r="2115" spans="1:3" s="10" customFormat="1" x14ac:dyDescent="0.25">
      <c r="A2115" s="10" t="str">
        <f>"0611863321050"</f>
        <v>0611863321050</v>
      </c>
      <c r="B2115" s="10" t="str">
        <f>"CR4833"</f>
        <v>CR4833</v>
      </c>
      <c r="C2115" s="10" t="s">
        <v>2088</v>
      </c>
    </row>
    <row r="2116" spans="1:3" s="10" customFormat="1" x14ac:dyDescent="0.25">
      <c r="A2116" s="10" t="str">
        <f>"0611863322050"</f>
        <v>0611863322050</v>
      </c>
      <c r="B2116" s="10" t="str">
        <f>"CR4834"</f>
        <v>CR4834</v>
      </c>
      <c r="C2116" s="10" t="s">
        <v>2089</v>
      </c>
    </row>
    <row r="2117" spans="1:3" s="10" customFormat="1" x14ac:dyDescent="0.25">
      <c r="A2117" s="10" t="str">
        <f>"0611863323100"</f>
        <v>0611863323100</v>
      </c>
      <c r="B2117" s="10" t="str">
        <f>"CN5270"</f>
        <v>CN5270</v>
      </c>
      <c r="C2117" s="10" t="s">
        <v>2090</v>
      </c>
    </row>
    <row r="2118" spans="1:3" s="10" customFormat="1" x14ac:dyDescent="0.25">
      <c r="A2118" s="10" t="str">
        <f>"0611863324100"</f>
        <v>0611863324100</v>
      </c>
      <c r="B2118" s="10" t="str">
        <f>"CN5271"</f>
        <v>CN5271</v>
      </c>
      <c r="C2118" s="10" t="s">
        <v>2091</v>
      </c>
    </row>
    <row r="2119" spans="1:3" s="10" customFormat="1" x14ac:dyDescent="0.25">
      <c r="A2119" s="10" t="str">
        <f>"0611863325050"</f>
        <v>0611863325050</v>
      </c>
      <c r="B2119" s="10" t="str">
        <f>"CR4387"</f>
        <v>CR4387</v>
      </c>
      <c r="C2119" s="10" t="s">
        <v>2092</v>
      </c>
    </row>
    <row r="2120" spans="1:3" s="10" customFormat="1" x14ac:dyDescent="0.25">
      <c r="A2120" s="10" t="str">
        <f>"0611863326100"</f>
        <v>0611863326100</v>
      </c>
      <c r="B2120" s="10" t="str">
        <f>"CN5272"</f>
        <v>CN5272</v>
      </c>
      <c r="C2120" s="10" t="s">
        <v>2093</v>
      </c>
    </row>
    <row r="2121" spans="1:3" s="10" customFormat="1" x14ac:dyDescent="0.25">
      <c r="A2121" s="10" t="str">
        <f>"0611863328100"</f>
        <v>0611863328100</v>
      </c>
      <c r="B2121" s="10" t="str">
        <f>"CN5273"</f>
        <v>CN5273</v>
      </c>
      <c r="C2121" s="10" t="s">
        <v>2094</v>
      </c>
    </row>
    <row r="2122" spans="1:3" s="10" customFormat="1" x14ac:dyDescent="0.25">
      <c r="A2122" s="10" t="str">
        <f>"0611862544050"</f>
        <v>0611862544050</v>
      </c>
      <c r="B2122" s="10" t="str">
        <f>"CR4396"</f>
        <v>CR4396</v>
      </c>
      <c r="C2122" s="10" t="s">
        <v>2095</v>
      </c>
    </row>
    <row r="2123" spans="1:3" s="10" customFormat="1" x14ac:dyDescent="0.25">
      <c r="A2123" s="10" t="str">
        <f>"0611862545050"</f>
        <v>0611862545050</v>
      </c>
      <c r="B2123" s="10" t="str">
        <f>"CR4395"</f>
        <v>CR4395</v>
      </c>
      <c r="C2123" s="10" t="s">
        <v>2096</v>
      </c>
    </row>
    <row r="2124" spans="1:3" s="10" customFormat="1" x14ac:dyDescent="0.25">
      <c r="A2124" s="10" t="str">
        <f>"0611862547100"</f>
        <v>0611862547100</v>
      </c>
      <c r="B2124" s="10" t="str">
        <f>"CN5276"</f>
        <v>CN5276</v>
      </c>
      <c r="C2124" s="10" t="s">
        <v>2097</v>
      </c>
    </row>
    <row r="2125" spans="1:3" s="10" customFormat="1" x14ac:dyDescent="0.25">
      <c r="A2125" s="10" t="str">
        <f>"0611862546050"</f>
        <v>0611862546050</v>
      </c>
      <c r="B2125" s="10" t="str">
        <f>"CR4393"</f>
        <v>CR4393</v>
      </c>
      <c r="C2125" s="10" t="s">
        <v>2098</v>
      </c>
    </row>
    <row r="2126" spans="1:3" s="10" customFormat="1" x14ac:dyDescent="0.25">
      <c r="A2126" s="10" t="str">
        <f>"0611862548100"</f>
        <v>0611862548100</v>
      </c>
      <c r="B2126" s="10" t="str">
        <f>"CN5277"</f>
        <v>CN5277</v>
      </c>
      <c r="C2126" s="10" t="s">
        <v>2099</v>
      </c>
    </row>
    <row r="2127" spans="1:3" s="10" customFormat="1" x14ac:dyDescent="0.25">
      <c r="A2127" s="10" t="str">
        <f>"0611862549100"</f>
        <v>0611862549100</v>
      </c>
      <c r="B2127" s="10" t="str">
        <f>"CN5278"</f>
        <v>CN5278</v>
      </c>
      <c r="C2127" s="10" t="s">
        <v>2100</v>
      </c>
    </row>
    <row r="2128" spans="1:3" s="10" customFormat="1" x14ac:dyDescent="0.25">
      <c r="A2128" s="10" t="str">
        <f>"0611862551100"</f>
        <v>0611862551100</v>
      </c>
      <c r="B2128" s="10" t="str">
        <f>"CN5275"</f>
        <v>CN5275</v>
      </c>
      <c r="C2128" s="10" t="s">
        <v>2101</v>
      </c>
    </row>
    <row r="2129" spans="1:3" s="10" customFormat="1" x14ac:dyDescent="0.25">
      <c r="A2129" s="10" t="str">
        <f>"0611862550050"</f>
        <v>0611862550050</v>
      </c>
      <c r="B2129" s="10" t="str">
        <f>"CR4391"</f>
        <v>CR4391</v>
      </c>
      <c r="C2129" s="10" t="s">
        <v>2102</v>
      </c>
    </row>
    <row r="2130" spans="1:3" s="10" customFormat="1" x14ac:dyDescent="0.25">
      <c r="A2130" s="10" t="str">
        <f>"0611893639100"</f>
        <v>0611893639100</v>
      </c>
      <c r="B2130" s="10" t="str">
        <f>"CN5274"</f>
        <v>CN5274</v>
      </c>
      <c r="C2130" s="10" t="s">
        <v>2103</v>
      </c>
    </row>
    <row r="2131" spans="1:3" s="10" customFormat="1" x14ac:dyDescent="0.25">
      <c r="A2131" s="10" t="str">
        <f>"0611862552050"</f>
        <v>0611862552050</v>
      </c>
      <c r="B2131" s="10" t="str">
        <f>"CR4392"</f>
        <v>CR4392</v>
      </c>
      <c r="C2131" s="10" t="s">
        <v>2104</v>
      </c>
    </row>
    <row r="2132" spans="1:3" s="10" customFormat="1" x14ac:dyDescent="0.25">
      <c r="A2132" s="10" t="str">
        <f>"0611863330050"</f>
        <v>0611863330050</v>
      </c>
      <c r="B2132" s="10" t="str">
        <f>"CR2876"</f>
        <v>CR2876</v>
      </c>
      <c r="C2132" s="10" t="s">
        <v>2105</v>
      </c>
    </row>
    <row r="2133" spans="1:3" s="10" customFormat="1" x14ac:dyDescent="0.25">
      <c r="A2133" s="10" t="str">
        <f>"0611863331050"</f>
        <v>0611863331050</v>
      </c>
      <c r="B2133" s="10" t="str">
        <f>"CR4082"</f>
        <v>CR4082</v>
      </c>
      <c r="C2133" s="10" t="s">
        <v>2106</v>
      </c>
    </row>
    <row r="2134" spans="1:3" s="10" customFormat="1" x14ac:dyDescent="0.25">
      <c r="A2134" s="10" t="str">
        <f>"0611863332050"</f>
        <v>0611863332050</v>
      </c>
      <c r="B2134" s="10" t="str">
        <f>"CR2440"</f>
        <v>CR2440</v>
      </c>
      <c r="C2134" s="10" t="s">
        <v>2107</v>
      </c>
    </row>
    <row r="2135" spans="1:3" s="10" customFormat="1" x14ac:dyDescent="0.25">
      <c r="A2135" s="10" t="str">
        <f>"0611863333050"</f>
        <v>0611863333050</v>
      </c>
      <c r="B2135" s="10" t="str">
        <f>"CR4083"</f>
        <v>CR4083</v>
      </c>
      <c r="C2135" s="10" t="s">
        <v>2108</v>
      </c>
    </row>
    <row r="2136" spans="1:3" s="10" customFormat="1" x14ac:dyDescent="0.25">
      <c r="A2136" s="10" t="str">
        <f>"0611863334050"</f>
        <v>0611863334050</v>
      </c>
      <c r="B2136" s="10" t="str">
        <f>"CR5210"</f>
        <v>CR5210</v>
      </c>
      <c r="C2136" s="10" t="s">
        <v>2109</v>
      </c>
    </row>
    <row r="2137" spans="1:3" s="10" customFormat="1" x14ac:dyDescent="0.25">
      <c r="A2137" s="10" t="str">
        <f>"0611863335050"</f>
        <v>0611863335050</v>
      </c>
      <c r="B2137" s="10" t="str">
        <f>"CR2441"</f>
        <v>CR2441</v>
      </c>
      <c r="C2137" s="10" t="s">
        <v>2110</v>
      </c>
    </row>
    <row r="2138" spans="1:3" s="10" customFormat="1" x14ac:dyDescent="0.25">
      <c r="A2138" s="10" t="str">
        <f>"0611906584050"</f>
        <v>0611906584050</v>
      </c>
      <c r="B2138" s="10" t="str">
        <f>"CR5498"</f>
        <v>CR5498</v>
      </c>
      <c r="C2138" s="10" t="s">
        <v>2111</v>
      </c>
    </row>
    <row r="2139" spans="1:3" s="10" customFormat="1" x14ac:dyDescent="0.25">
      <c r="A2139" s="10" t="str">
        <f>"0611863336050"</f>
        <v>0611863336050</v>
      </c>
      <c r="B2139" s="10" t="str">
        <f>"CR5211"</f>
        <v>CR5211</v>
      </c>
      <c r="C2139" s="10" t="s">
        <v>2112</v>
      </c>
    </row>
    <row r="2140" spans="1:3" s="10" customFormat="1" x14ac:dyDescent="0.25">
      <c r="A2140" s="10" t="str">
        <f>"0611893640050"</f>
        <v>0611893640050</v>
      </c>
      <c r="B2140" s="10" t="str">
        <f>"CR5448"</f>
        <v>CR5448</v>
      </c>
      <c r="C2140" s="10" t="s">
        <v>2113</v>
      </c>
    </row>
    <row r="2141" spans="1:3" s="10" customFormat="1" x14ac:dyDescent="0.25">
      <c r="A2141" s="10" t="str">
        <f>"0611863337050"</f>
        <v>0611863337050</v>
      </c>
      <c r="B2141" s="10" t="str">
        <f>"CR5212"</f>
        <v>CR5212</v>
      </c>
      <c r="C2141" s="10" t="s">
        <v>2114</v>
      </c>
    </row>
    <row r="2142" spans="1:3" s="10" customFormat="1" x14ac:dyDescent="0.25">
      <c r="A2142" s="10" t="str">
        <f>"0611863339050"</f>
        <v>0611863339050</v>
      </c>
      <c r="B2142" s="10" t="str">
        <f>"CR2723"</f>
        <v>CR2723</v>
      </c>
      <c r="C2142" s="10" t="s">
        <v>2115</v>
      </c>
    </row>
    <row r="2143" spans="1:3" s="10" customFormat="1" x14ac:dyDescent="0.25">
      <c r="A2143" s="10" t="str">
        <f>"0611863340050"</f>
        <v>0611863340050</v>
      </c>
      <c r="B2143" s="10" t="str">
        <f>"CR2882"</f>
        <v>CR2882</v>
      </c>
      <c r="C2143" s="10" t="s">
        <v>2116</v>
      </c>
    </row>
    <row r="2144" spans="1:3" s="10" customFormat="1" x14ac:dyDescent="0.25">
      <c r="A2144" s="10" t="str">
        <f>"0611863341050"</f>
        <v>0611863341050</v>
      </c>
      <c r="B2144" s="10" t="str">
        <f>"CR3900"</f>
        <v>CR3900</v>
      </c>
      <c r="C2144" s="10" t="s">
        <v>2117</v>
      </c>
    </row>
    <row r="2145" spans="1:3" s="10" customFormat="1" x14ac:dyDescent="0.25">
      <c r="A2145" s="10" t="str">
        <f>"0611863342050"</f>
        <v>0611863342050</v>
      </c>
      <c r="B2145" s="10" t="str">
        <f>"CR5213"</f>
        <v>CR5213</v>
      </c>
      <c r="C2145" s="10" t="s">
        <v>2118</v>
      </c>
    </row>
    <row r="2146" spans="1:3" s="10" customFormat="1" x14ac:dyDescent="0.25">
      <c r="A2146" s="10" t="str">
        <f>"0611863343050"</f>
        <v>0611863343050</v>
      </c>
      <c r="B2146" s="10" t="str">
        <f>"CR5214"</f>
        <v>CR5214</v>
      </c>
      <c r="C2146" s="10" t="s">
        <v>2119</v>
      </c>
    </row>
    <row r="2147" spans="1:3" s="10" customFormat="1" x14ac:dyDescent="0.25">
      <c r="A2147" s="10" t="str">
        <f>"0611863344050"</f>
        <v>0611863344050</v>
      </c>
      <c r="B2147" s="10" t="str">
        <f>"CR5215"</f>
        <v>CR5215</v>
      </c>
      <c r="C2147" s="10" t="s">
        <v>2120</v>
      </c>
    </row>
    <row r="2148" spans="1:3" s="10" customFormat="1" x14ac:dyDescent="0.25">
      <c r="A2148" s="10" t="str">
        <f>"0611863345050"</f>
        <v>0611863345050</v>
      </c>
      <c r="B2148" s="10" t="str">
        <f>"CR5216"</f>
        <v>CR5216</v>
      </c>
      <c r="C2148" s="10" t="s">
        <v>2121</v>
      </c>
    </row>
    <row r="2149" spans="1:3" s="10" customFormat="1" x14ac:dyDescent="0.25">
      <c r="A2149" s="10" t="str">
        <f>"0611906585050"</f>
        <v>0611906585050</v>
      </c>
      <c r="B2149" s="10" t="str">
        <f>"CR5499"</f>
        <v>CR5499</v>
      </c>
      <c r="C2149" s="10" t="s">
        <v>2122</v>
      </c>
    </row>
    <row r="2150" spans="1:3" s="10" customFormat="1" x14ac:dyDescent="0.25">
      <c r="A2150" s="10" t="str">
        <f>"0611863346050"</f>
        <v>0611863346050</v>
      </c>
      <c r="B2150" s="10" t="str">
        <f>"CR5217"</f>
        <v>CR5217</v>
      </c>
      <c r="C2150" s="10" t="s">
        <v>2123</v>
      </c>
    </row>
    <row r="2151" spans="1:3" s="10" customFormat="1" x14ac:dyDescent="0.25">
      <c r="A2151" s="10" t="str">
        <f>"0611863347050"</f>
        <v>0611863347050</v>
      </c>
      <c r="B2151" s="10" t="str">
        <f>"CR2442"</f>
        <v>CR2442</v>
      </c>
      <c r="C2151" s="10" t="s">
        <v>2124</v>
      </c>
    </row>
    <row r="2152" spans="1:3" s="10" customFormat="1" x14ac:dyDescent="0.25">
      <c r="A2152" s="10" t="str">
        <f>"0611863348050"</f>
        <v>0611863348050</v>
      </c>
      <c r="B2152" s="10" t="str">
        <f>"CR2724"</f>
        <v>CR2724</v>
      </c>
      <c r="C2152" s="10" t="s">
        <v>2125</v>
      </c>
    </row>
    <row r="2153" spans="1:3" s="10" customFormat="1" x14ac:dyDescent="0.25">
      <c r="A2153" s="10" t="str">
        <f>"0611863349050"</f>
        <v>0611863349050</v>
      </c>
      <c r="B2153" s="10" t="str">
        <f>"CR2885"</f>
        <v>CR2885</v>
      </c>
      <c r="C2153" s="10" t="s">
        <v>2126</v>
      </c>
    </row>
    <row r="2154" spans="1:3" s="10" customFormat="1" x14ac:dyDescent="0.25">
      <c r="A2154" s="10" t="str">
        <f>"0611863351050"</f>
        <v>0611863351050</v>
      </c>
      <c r="B2154" s="10" t="str">
        <f>"CR2443"</f>
        <v>CR2443</v>
      </c>
      <c r="C2154" s="10" t="s">
        <v>2127</v>
      </c>
    </row>
    <row r="2155" spans="1:3" s="10" customFormat="1" x14ac:dyDescent="0.25">
      <c r="A2155" s="10" t="str">
        <f>"0611863352050"</f>
        <v>0611863352050</v>
      </c>
      <c r="B2155" s="10" t="str">
        <f>"CR2444"</f>
        <v>CR2444</v>
      </c>
      <c r="C2155" s="10" t="s">
        <v>2128</v>
      </c>
    </row>
    <row r="2156" spans="1:3" s="10" customFormat="1" x14ac:dyDescent="0.25">
      <c r="A2156" s="10" t="str">
        <f>"0611863353050"</f>
        <v>0611863353050</v>
      </c>
      <c r="B2156" s="10" t="str">
        <f>"CR2447"</f>
        <v>CR2447</v>
      </c>
      <c r="C2156" s="10" t="s">
        <v>2129</v>
      </c>
    </row>
    <row r="2157" spans="1:3" s="10" customFormat="1" x14ac:dyDescent="0.25">
      <c r="A2157" s="10" t="str">
        <f>"0611863354050"</f>
        <v>0611863354050</v>
      </c>
      <c r="B2157" s="10" t="str">
        <f>"CR2448"</f>
        <v>CR2448</v>
      </c>
      <c r="C2157" s="10" t="s">
        <v>2130</v>
      </c>
    </row>
    <row r="2158" spans="1:3" s="10" customFormat="1" x14ac:dyDescent="0.25">
      <c r="A2158" s="10" t="str">
        <f>"0611863369100"</f>
        <v>0611863369100</v>
      </c>
      <c r="B2158" s="10" t="str">
        <f>"CN2233"</f>
        <v>CN2233</v>
      </c>
      <c r="C2158" s="10" t="s">
        <v>2131</v>
      </c>
    </row>
    <row r="2159" spans="1:3" s="10" customFormat="1" x14ac:dyDescent="0.25">
      <c r="A2159" s="10" t="str">
        <f>"0611863370100"</f>
        <v>0611863370100</v>
      </c>
      <c r="B2159" s="10" t="str">
        <f>"CN5279"</f>
        <v>CN5279</v>
      </c>
      <c r="C2159" s="10" t="s">
        <v>2132</v>
      </c>
    </row>
    <row r="2160" spans="1:3" s="10" customFormat="1" x14ac:dyDescent="0.25">
      <c r="A2160" s="10" t="str">
        <f>"0611863372100"</f>
        <v>0611863372100</v>
      </c>
      <c r="B2160" s="10" t="str">
        <f>"CN5280"</f>
        <v>CN5280</v>
      </c>
      <c r="C2160" s="10" t="s">
        <v>2133</v>
      </c>
    </row>
    <row r="2161" spans="1:3" s="10" customFormat="1" x14ac:dyDescent="0.25">
      <c r="A2161" s="10" t="str">
        <f>"0611863373100"</f>
        <v>0611863373100</v>
      </c>
      <c r="B2161" s="10" t="str">
        <f>"CN5282"</f>
        <v>CN5282</v>
      </c>
      <c r="C2161" s="10" t="s">
        <v>2134</v>
      </c>
    </row>
    <row r="2162" spans="1:3" s="10" customFormat="1" x14ac:dyDescent="0.25">
      <c r="A2162" s="10" t="str">
        <f>"0611863374100"</f>
        <v>0611863374100</v>
      </c>
      <c r="B2162" s="10" t="str">
        <f>"CN5281"</f>
        <v>CN5281</v>
      </c>
      <c r="C2162" s="10" t="s">
        <v>2135</v>
      </c>
    </row>
    <row r="2163" spans="1:3" s="10" customFormat="1" x14ac:dyDescent="0.25">
      <c r="A2163" s="10" t="str">
        <f>"0611863375100"</f>
        <v>0611863375100</v>
      </c>
      <c r="B2163" s="10" t="str">
        <f>"CN2234"</f>
        <v>CN2234</v>
      </c>
      <c r="C2163" s="10" t="s">
        <v>2136</v>
      </c>
    </row>
    <row r="2164" spans="1:3" s="10" customFormat="1" x14ac:dyDescent="0.25">
      <c r="A2164" s="10" t="str">
        <f>"0611863376100"</f>
        <v>0611863376100</v>
      </c>
      <c r="B2164" s="10" t="str">
        <f>"CN2235"</f>
        <v>CN2235</v>
      </c>
      <c r="C2164" s="10" t="s">
        <v>2137</v>
      </c>
    </row>
    <row r="2165" spans="1:3" s="10" customFormat="1" x14ac:dyDescent="0.25">
      <c r="A2165" s="10" t="str">
        <f>"0611863377100"</f>
        <v>0611863377100</v>
      </c>
      <c r="B2165" s="10" t="str">
        <f>"CN2236"</f>
        <v>CN2236</v>
      </c>
      <c r="C2165" s="10" t="s">
        <v>2138</v>
      </c>
    </row>
    <row r="2166" spans="1:3" s="10" customFormat="1" x14ac:dyDescent="0.25">
      <c r="A2166" s="10" t="str">
        <f>"0611864305100"</f>
        <v>0611864305100</v>
      </c>
      <c r="B2166" s="10" t="str">
        <f>"CN5427"</f>
        <v>CN5427</v>
      </c>
      <c r="C2166" s="10" t="s">
        <v>2149</v>
      </c>
    </row>
    <row r="2167" spans="1:3" s="10" customFormat="1" x14ac:dyDescent="0.25">
      <c r="A2167" s="10" t="str">
        <f>"0611864306100"</f>
        <v>0611864306100</v>
      </c>
      <c r="B2167" s="10" t="str">
        <f>"CN5428"</f>
        <v>CN5428</v>
      </c>
      <c r="C2167" s="10" t="s">
        <v>2150</v>
      </c>
    </row>
    <row r="2168" spans="1:3" s="10" customFormat="1" x14ac:dyDescent="0.25">
      <c r="A2168" s="10" t="str">
        <f>"0611864307100"</f>
        <v>0611864307100</v>
      </c>
      <c r="B2168" s="10" t="str">
        <f>"CN5429"</f>
        <v>CN5429</v>
      </c>
      <c r="C2168" s="10" t="s">
        <v>2151</v>
      </c>
    </row>
    <row r="2169" spans="1:3" s="10" customFormat="1" x14ac:dyDescent="0.25">
      <c r="A2169" s="10" t="str">
        <f>"0611864310050"</f>
        <v>0611864310050</v>
      </c>
      <c r="B2169" s="10" t="str">
        <f>"CR4519"</f>
        <v>CR4519</v>
      </c>
      <c r="C2169" s="10" t="s">
        <v>2152</v>
      </c>
    </row>
    <row r="2170" spans="1:3" s="10" customFormat="1" x14ac:dyDescent="0.25">
      <c r="A2170" s="10" t="str">
        <f>"0611864311100"</f>
        <v>0611864311100</v>
      </c>
      <c r="B2170" s="10" t="str">
        <f>"CN5436"</f>
        <v>CN5436</v>
      </c>
      <c r="C2170" s="10" t="s">
        <v>2153</v>
      </c>
    </row>
    <row r="2171" spans="1:3" s="10" customFormat="1" x14ac:dyDescent="0.25">
      <c r="A2171" s="10" t="str">
        <f>"0611864320100"</f>
        <v>0611864320100</v>
      </c>
      <c r="B2171" s="10" t="str">
        <f>"CN5433"</f>
        <v>CN5433</v>
      </c>
      <c r="C2171" s="10" t="s">
        <v>2154</v>
      </c>
    </row>
    <row r="2172" spans="1:3" s="10" customFormat="1" x14ac:dyDescent="0.25">
      <c r="A2172" s="10" t="str">
        <f>"0611864322100"</f>
        <v>0611864322100</v>
      </c>
      <c r="B2172" s="10" t="str">
        <f>"CN5434"</f>
        <v>CN5434</v>
      </c>
      <c r="C2172" s="10" t="s">
        <v>2155</v>
      </c>
    </row>
    <row r="2173" spans="1:3" s="10" customFormat="1" x14ac:dyDescent="0.25">
      <c r="A2173" s="10" t="str">
        <f>"0611863388050"</f>
        <v>0611863388050</v>
      </c>
      <c r="B2173" s="10" t="str">
        <f>"CR3937"</f>
        <v>CR3937</v>
      </c>
      <c r="C2173" s="10" t="s">
        <v>2156</v>
      </c>
    </row>
    <row r="2174" spans="1:3" s="10" customFormat="1" x14ac:dyDescent="0.25">
      <c r="A2174" s="10" t="str">
        <f>"0611863389050"</f>
        <v>0611863389050</v>
      </c>
      <c r="B2174" s="10" t="str">
        <f>"CR3938"</f>
        <v>CR3938</v>
      </c>
      <c r="C2174" s="10" t="s">
        <v>2157</v>
      </c>
    </row>
    <row r="2175" spans="1:3" s="10" customFormat="1" x14ac:dyDescent="0.25">
      <c r="A2175" s="10" t="str">
        <f>"0611863390100"</f>
        <v>0611863390100</v>
      </c>
      <c r="B2175" s="10" t="str">
        <f>"CN5288"</f>
        <v>CN5288</v>
      </c>
      <c r="C2175" s="10" t="s">
        <v>2158</v>
      </c>
    </row>
    <row r="2176" spans="1:3" s="10" customFormat="1" x14ac:dyDescent="0.25">
      <c r="A2176" s="10" t="str">
        <f>"0611863392100"</f>
        <v>0611863392100</v>
      </c>
      <c r="B2176" s="10" t="str">
        <f>"CN5289"</f>
        <v>CN5289</v>
      </c>
      <c r="C2176" s="10" t="s">
        <v>2159</v>
      </c>
    </row>
    <row r="2177" spans="1:3" s="10" customFormat="1" x14ac:dyDescent="0.25">
      <c r="A2177" s="10" t="str">
        <f>"0611893641100"</f>
        <v>0611893641100</v>
      </c>
      <c r="B2177" s="10" t="str">
        <f>"CN5449"</f>
        <v>CN5449</v>
      </c>
      <c r="C2177" s="10" t="s">
        <v>2160</v>
      </c>
    </row>
    <row r="2178" spans="1:3" s="10" customFormat="1" x14ac:dyDescent="0.25">
      <c r="A2178" s="10" t="str">
        <f>"0611863394100"</f>
        <v>0611863394100</v>
      </c>
      <c r="B2178" s="10" t="str">
        <f>"CN2314"</f>
        <v>CN2314</v>
      </c>
      <c r="C2178" s="10" t="s">
        <v>2161</v>
      </c>
    </row>
    <row r="2179" spans="1:3" s="10" customFormat="1" x14ac:dyDescent="0.25">
      <c r="A2179" s="10" t="str">
        <f>"0611863395100"</f>
        <v>0611863395100</v>
      </c>
      <c r="B2179" s="10" t="str">
        <f>"CN5290"</f>
        <v>CN5290</v>
      </c>
      <c r="C2179" s="10" t="s">
        <v>2162</v>
      </c>
    </row>
    <row r="2180" spans="1:3" s="10" customFormat="1" x14ac:dyDescent="0.25">
      <c r="A2180" s="10" t="str">
        <f>"0611863397100"</f>
        <v>0611863397100</v>
      </c>
      <c r="B2180" s="10" t="str">
        <f>"CN5291"</f>
        <v>CN5291</v>
      </c>
      <c r="C2180" s="10" t="s">
        <v>2163</v>
      </c>
    </row>
    <row r="2181" spans="1:3" s="10" customFormat="1" x14ac:dyDescent="0.25">
      <c r="A2181" s="10" t="str">
        <f>"0611863405100"</f>
        <v>0611863405100</v>
      </c>
      <c r="B2181" s="10" t="str">
        <f>"CN5283"</f>
        <v>CN5283</v>
      </c>
      <c r="C2181" s="10" t="s">
        <v>2164</v>
      </c>
    </row>
    <row r="2182" spans="1:3" s="10" customFormat="1" x14ac:dyDescent="0.25">
      <c r="A2182" s="10" t="str">
        <f>"0611863406100"</f>
        <v>0611863406100</v>
      </c>
      <c r="B2182" s="10" t="str">
        <f>"CN5284"</f>
        <v>CN5284</v>
      </c>
      <c r="C2182" s="10" t="s">
        <v>2165</v>
      </c>
    </row>
    <row r="2183" spans="1:3" s="10" customFormat="1" x14ac:dyDescent="0.25">
      <c r="A2183" s="10" t="str">
        <f>"0611863407050"</f>
        <v>0611863407050</v>
      </c>
      <c r="B2183" s="10" t="str">
        <f>"CR3809"</f>
        <v>CR3809</v>
      </c>
      <c r="C2183" s="10" t="s">
        <v>2166</v>
      </c>
    </row>
    <row r="2184" spans="1:3" s="10" customFormat="1" x14ac:dyDescent="0.25">
      <c r="A2184" s="10" t="str">
        <f>"0611863408100"</f>
        <v>0611863408100</v>
      </c>
      <c r="B2184" s="10" t="str">
        <f>"CN5285"</f>
        <v>CN5285</v>
      </c>
      <c r="C2184" s="10" t="s">
        <v>2167</v>
      </c>
    </row>
    <row r="2185" spans="1:3" s="10" customFormat="1" x14ac:dyDescent="0.25">
      <c r="A2185" s="10" t="str">
        <f>"0611863409100"</f>
        <v>0611863409100</v>
      </c>
      <c r="B2185" s="10" t="str">
        <f>"CN2380"</f>
        <v>CN2380</v>
      </c>
      <c r="C2185" s="10" t="s">
        <v>2168</v>
      </c>
    </row>
    <row r="2186" spans="1:3" s="10" customFormat="1" x14ac:dyDescent="0.25">
      <c r="A2186" s="10" t="str">
        <f>"0611863410100"</f>
        <v>0611863410100</v>
      </c>
      <c r="B2186" s="10" t="str">
        <f>"CN2381"</f>
        <v>CN2381</v>
      </c>
      <c r="C2186" s="10" t="s">
        <v>2169</v>
      </c>
    </row>
    <row r="2187" spans="1:3" s="10" customFormat="1" x14ac:dyDescent="0.25">
      <c r="A2187" s="10" t="str">
        <f>"0611863411100"</f>
        <v>0611863411100</v>
      </c>
      <c r="B2187" s="10" t="str">
        <f>"CN5286"</f>
        <v>CN5286</v>
      </c>
      <c r="C2187" s="10" t="s">
        <v>2170</v>
      </c>
    </row>
    <row r="2188" spans="1:3" s="10" customFormat="1" x14ac:dyDescent="0.25">
      <c r="A2188" s="10" t="str">
        <f>"0611863412100"</f>
        <v>0611863412100</v>
      </c>
      <c r="B2188" s="10" t="str">
        <f>"CN2382"</f>
        <v>CN2382</v>
      </c>
      <c r="C2188" s="10" t="s">
        <v>2171</v>
      </c>
    </row>
    <row r="2189" spans="1:3" s="10" customFormat="1" x14ac:dyDescent="0.25">
      <c r="A2189" s="10" t="str">
        <f>"0611863413100"</f>
        <v>0611863413100</v>
      </c>
      <c r="B2189" s="10" t="str">
        <f>"CN2383"</f>
        <v>CN2383</v>
      </c>
      <c r="C2189" s="10" t="s">
        <v>2172</v>
      </c>
    </row>
    <row r="2190" spans="1:3" s="10" customFormat="1" x14ac:dyDescent="0.25">
      <c r="A2190" s="10" t="str">
        <f>"0611863414100"</f>
        <v>0611863414100</v>
      </c>
      <c r="B2190" s="10" t="str">
        <f>"CN5287"</f>
        <v>CN5287</v>
      </c>
      <c r="C2190" s="10" t="s">
        <v>2173</v>
      </c>
    </row>
    <row r="2191" spans="1:3" s="10" customFormat="1" x14ac:dyDescent="0.25">
      <c r="A2191" s="10" t="str">
        <f>"0611863422050"</f>
        <v>0611863422050</v>
      </c>
      <c r="B2191" s="10" t="str">
        <f>"CR3044"</f>
        <v>CR3044</v>
      </c>
      <c r="C2191" s="10" t="s">
        <v>2174</v>
      </c>
    </row>
    <row r="2192" spans="1:3" s="10" customFormat="1" x14ac:dyDescent="0.25">
      <c r="A2192" s="10" t="str">
        <f>"0611863423050"</f>
        <v>0611863423050</v>
      </c>
      <c r="B2192" s="10" t="str">
        <f>"CR3045"</f>
        <v>CR3045</v>
      </c>
      <c r="C2192" s="10" t="s">
        <v>2175</v>
      </c>
    </row>
    <row r="2193" spans="1:3" s="10" customFormat="1" x14ac:dyDescent="0.25">
      <c r="A2193" s="10" t="str">
        <f>"0611863424050"</f>
        <v>0611863424050</v>
      </c>
      <c r="B2193" s="10" t="str">
        <f>"CR3046"</f>
        <v>CR3046</v>
      </c>
      <c r="C2193" s="10" t="s">
        <v>2176</v>
      </c>
    </row>
    <row r="2194" spans="1:3" s="10" customFormat="1" x14ac:dyDescent="0.25">
      <c r="A2194" s="10" t="str">
        <f>"0611863425050"</f>
        <v>0611863425050</v>
      </c>
      <c r="B2194" s="10" t="str">
        <f>"CR3047"</f>
        <v>CR3047</v>
      </c>
      <c r="C2194" s="10" t="s">
        <v>2177</v>
      </c>
    </row>
    <row r="2195" spans="1:3" s="10" customFormat="1" x14ac:dyDescent="0.25">
      <c r="A2195" s="10" t="str">
        <f>"0611863378050"</f>
        <v>0611863378050</v>
      </c>
      <c r="B2195" s="10" t="str">
        <f>"CR4402"</f>
        <v>CR4402</v>
      </c>
      <c r="C2195" s="10" t="s">
        <v>2139</v>
      </c>
    </row>
    <row r="2196" spans="1:3" s="10" customFormat="1" x14ac:dyDescent="0.25">
      <c r="A2196" s="10" t="str">
        <f>"0611863379050"</f>
        <v>0611863379050</v>
      </c>
      <c r="B2196" s="10" t="str">
        <f>"CR4403"</f>
        <v>CR4403</v>
      </c>
      <c r="C2196" s="10" t="s">
        <v>2140</v>
      </c>
    </row>
    <row r="2197" spans="1:3" s="10" customFormat="1" x14ac:dyDescent="0.25">
      <c r="A2197" s="10" t="str">
        <f>"0611863380050"</f>
        <v>0611863380050</v>
      </c>
      <c r="B2197" s="10" t="str">
        <f>"CR4404"</f>
        <v>CR4404</v>
      </c>
      <c r="C2197" s="10" t="s">
        <v>2141</v>
      </c>
    </row>
    <row r="2198" spans="1:3" s="10" customFormat="1" x14ac:dyDescent="0.25">
      <c r="A2198" s="10" t="str">
        <f>"0611863381050"</f>
        <v>0611863381050</v>
      </c>
      <c r="B2198" s="10" t="str">
        <f>"CR4406"</f>
        <v>CR4406</v>
      </c>
      <c r="C2198" s="10" t="s">
        <v>2142</v>
      </c>
    </row>
    <row r="2199" spans="1:3" s="10" customFormat="1" x14ac:dyDescent="0.25">
      <c r="A2199" s="10" t="str">
        <f>"0611863382050"</f>
        <v>0611863382050</v>
      </c>
      <c r="B2199" s="10" t="str">
        <f>"CR4407"</f>
        <v>CR4407</v>
      </c>
      <c r="C2199" s="10" t="s">
        <v>2143</v>
      </c>
    </row>
    <row r="2200" spans="1:3" s="10" customFormat="1" x14ac:dyDescent="0.25">
      <c r="A2200" s="10" t="str">
        <f>"0611863383050"</f>
        <v>0611863383050</v>
      </c>
      <c r="B2200" s="10" t="str">
        <f>"CR4408"</f>
        <v>CR4408</v>
      </c>
      <c r="C2200" s="10" t="s">
        <v>2144</v>
      </c>
    </row>
    <row r="2201" spans="1:3" s="10" customFormat="1" x14ac:dyDescent="0.25">
      <c r="A2201" s="10" t="str">
        <f>"0611863384050"</f>
        <v>0611863384050</v>
      </c>
      <c r="B2201" s="10" t="str">
        <f>"CR4409"</f>
        <v>CR4409</v>
      </c>
      <c r="C2201" s="10" t="s">
        <v>2145</v>
      </c>
    </row>
    <row r="2202" spans="1:3" s="10" customFormat="1" x14ac:dyDescent="0.25">
      <c r="A2202" s="10" t="str">
        <f>"0611863385050"</f>
        <v>0611863385050</v>
      </c>
      <c r="B2202" s="10" t="str">
        <f>"CR4410"</f>
        <v>CR4410</v>
      </c>
      <c r="C2202" s="10" t="s">
        <v>2146</v>
      </c>
    </row>
    <row r="2203" spans="1:3" s="10" customFormat="1" x14ac:dyDescent="0.25">
      <c r="A2203" s="10" t="str">
        <f>"0611863386050"</f>
        <v>0611863386050</v>
      </c>
      <c r="B2203" s="10" t="str">
        <f>"CR4411"</f>
        <v>CR4411</v>
      </c>
      <c r="C2203" s="10" t="s">
        <v>2147</v>
      </c>
    </row>
    <row r="2204" spans="1:3" s="10" customFormat="1" x14ac:dyDescent="0.25">
      <c r="A2204" s="10" t="str">
        <f>"0611863387050"</f>
        <v>0611863387050</v>
      </c>
      <c r="B2204" s="10" t="str">
        <f>"CR4412"</f>
        <v>CR4412</v>
      </c>
      <c r="C2204" s="10" t="s">
        <v>2148</v>
      </c>
    </row>
    <row r="2205" spans="1:3" s="10" customFormat="1" x14ac:dyDescent="0.25">
      <c r="A2205" s="10" t="str">
        <f>"0611863440100"</f>
        <v>0611863440100</v>
      </c>
      <c r="B2205" s="10" t="str">
        <f>"CN2237"</f>
        <v>CN2237</v>
      </c>
      <c r="C2205" s="10" t="s">
        <v>2178</v>
      </c>
    </row>
    <row r="2206" spans="1:3" s="10" customFormat="1" x14ac:dyDescent="0.25">
      <c r="A2206" s="10" t="str">
        <f>"0611863441100"</f>
        <v>0611863441100</v>
      </c>
      <c r="B2206" s="10" t="str">
        <f>"CN2238"</f>
        <v>CN2238</v>
      </c>
      <c r="C2206" s="10" t="s">
        <v>2179</v>
      </c>
    </row>
    <row r="2207" spans="1:3" s="10" customFormat="1" x14ac:dyDescent="0.25">
      <c r="A2207" s="10" t="str">
        <f>"0611863443100"</f>
        <v>0611863443100</v>
      </c>
      <c r="B2207" s="10" t="str">
        <f>"CN2399"</f>
        <v>CN2399</v>
      </c>
      <c r="C2207" s="10" t="s">
        <v>2180</v>
      </c>
    </row>
    <row r="2208" spans="1:3" s="10" customFormat="1" x14ac:dyDescent="0.25">
      <c r="A2208" s="10" t="str">
        <f>"0611906586050"</f>
        <v>0611906586050</v>
      </c>
      <c r="B2208" s="10" t="str">
        <f>"CR5502"</f>
        <v>CR5502</v>
      </c>
      <c r="C2208" s="10" t="s">
        <v>2181</v>
      </c>
    </row>
    <row r="2209" spans="1:3" s="10" customFormat="1" x14ac:dyDescent="0.25">
      <c r="A2209" s="10" t="str">
        <f>"0611906587050"</f>
        <v>0611906587050</v>
      </c>
      <c r="B2209" s="10" t="str">
        <f>"CR5503"</f>
        <v>CR5503</v>
      </c>
      <c r="C2209" s="10" t="s">
        <v>2182</v>
      </c>
    </row>
    <row r="2210" spans="1:3" s="10" customFormat="1" x14ac:dyDescent="0.25">
      <c r="A2210" s="10" t="str">
        <f>"0611863444100"</f>
        <v>0611863444100</v>
      </c>
      <c r="B2210" s="10" t="str">
        <f>"CN5293"</f>
        <v>CN5293</v>
      </c>
      <c r="C2210" s="10" t="s">
        <v>2183</v>
      </c>
    </row>
    <row r="2211" spans="1:3" s="10" customFormat="1" x14ac:dyDescent="0.25">
      <c r="A2211" s="10" t="str">
        <f>"0611863446100"</f>
        <v>0611863446100</v>
      </c>
      <c r="B2211" s="10" t="str">
        <f>"CN2384"</f>
        <v>CN2384</v>
      </c>
      <c r="C2211" s="10" t="s">
        <v>2184</v>
      </c>
    </row>
    <row r="2212" spans="1:3" s="10" customFormat="1" x14ac:dyDescent="0.25">
      <c r="A2212" s="10" t="str">
        <f>"0611863447100"</f>
        <v>0611863447100</v>
      </c>
      <c r="B2212" s="10" t="str">
        <f>"CN5294"</f>
        <v>CN5294</v>
      </c>
      <c r="C2212" s="10" t="s">
        <v>2185</v>
      </c>
    </row>
    <row r="2213" spans="1:3" s="10" customFormat="1" x14ac:dyDescent="0.25">
      <c r="A2213" s="10" t="str">
        <f>"0611863449100"</f>
        <v>0611863449100</v>
      </c>
      <c r="B2213" s="10" t="str">
        <f>"CN5295"</f>
        <v>CN5295</v>
      </c>
      <c r="C2213" s="10" t="s">
        <v>2186</v>
      </c>
    </row>
    <row r="2214" spans="1:3" s="10" customFormat="1" x14ac:dyDescent="0.25">
      <c r="A2214" s="10" t="str">
        <f>"0611863450050"</f>
        <v>0611863450050</v>
      </c>
      <c r="B2214" s="10" t="str">
        <f>"CR4416"</f>
        <v>CR4416</v>
      </c>
      <c r="C2214" s="10" t="s">
        <v>2187</v>
      </c>
    </row>
    <row r="2215" spans="1:3" s="10" customFormat="1" x14ac:dyDescent="0.25">
      <c r="A2215" s="10" t="str">
        <f>"0611863451100"</f>
        <v>0611863451100</v>
      </c>
      <c r="B2215" s="10" t="str">
        <f>"CN5296"</f>
        <v>CN5296</v>
      </c>
      <c r="C2215" s="10" t="s">
        <v>2188</v>
      </c>
    </row>
    <row r="2216" spans="1:3" s="10" customFormat="1" x14ac:dyDescent="0.25">
      <c r="A2216" s="10" t="str">
        <f>"0611893642100"</f>
        <v>0611893642100</v>
      </c>
      <c r="B2216" s="10" t="str">
        <f>"CN5459"</f>
        <v>CN5459</v>
      </c>
      <c r="C2216" s="10" t="s">
        <v>2189</v>
      </c>
    </row>
    <row r="2217" spans="1:3" s="10" customFormat="1" x14ac:dyDescent="0.25">
      <c r="A2217" s="10" t="str">
        <f>"0611863453050"</f>
        <v>0611863453050</v>
      </c>
      <c r="B2217" s="10" t="str">
        <f>"CR4002"</f>
        <v>CR4002</v>
      </c>
      <c r="C2217" s="10" t="s">
        <v>2190</v>
      </c>
    </row>
    <row r="2218" spans="1:3" s="10" customFormat="1" x14ac:dyDescent="0.25">
      <c r="A2218" s="10" t="str">
        <f>"0611863454050"</f>
        <v>0611863454050</v>
      </c>
      <c r="B2218" s="10" t="str">
        <f>"CR4990"</f>
        <v>CR4990</v>
      </c>
      <c r="C2218" s="10" t="s">
        <v>2191</v>
      </c>
    </row>
    <row r="2219" spans="1:3" s="10" customFormat="1" x14ac:dyDescent="0.25">
      <c r="A2219" s="10" t="str">
        <f>"0611863455050"</f>
        <v>0611863455050</v>
      </c>
      <c r="B2219" s="10" t="str">
        <f>"CR4005"</f>
        <v>CR4005</v>
      </c>
      <c r="C2219" s="10" t="s">
        <v>2192</v>
      </c>
    </row>
    <row r="2220" spans="1:3" s="10" customFormat="1" x14ac:dyDescent="0.25">
      <c r="A2220" s="10" t="str">
        <f>"0611863456050"</f>
        <v>0611863456050</v>
      </c>
      <c r="B2220" s="10" t="str">
        <f>"CR5218"</f>
        <v>CR5218</v>
      </c>
      <c r="C2220" s="10" t="s">
        <v>2193</v>
      </c>
    </row>
    <row r="2221" spans="1:3" s="10" customFormat="1" x14ac:dyDescent="0.25">
      <c r="A2221" s="10" t="str">
        <f>"0611863457050"</f>
        <v>0611863457050</v>
      </c>
      <c r="B2221" s="10" t="str">
        <f>"CR4003"</f>
        <v>CR4003</v>
      </c>
      <c r="C2221" s="10" t="s">
        <v>2194</v>
      </c>
    </row>
    <row r="2222" spans="1:3" s="10" customFormat="1" x14ac:dyDescent="0.25">
      <c r="A2222" s="10" t="str">
        <f>"0611863458050"</f>
        <v>0611863458050</v>
      </c>
      <c r="B2222" s="10" t="str">
        <f>"CR4004"</f>
        <v>CR4004</v>
      </c>
      <c r="C2222" s="10" t="s">
        <v>2195</v>
      </c>
    </row>
    <row r="2223" spans="1:3" s="10" customFormat="1" x14ac:dyDescent="0.25">
      <c r="A2223" s="10" t="str">
        <f>"0611863459050"</f>
        <v>0611863459050</v>
      </c>
      <c r="B2223" s="10" t="str">
        <f>"CR3550"</f>
        <v>CR3550</v>
      </c>
      <c r="C2223" s="10" t="s">
        <v>2196</v>
      </c>
    </row>
    <row r="2224" spans="1:3" s="10" customFormat="1" x14ac:dyDescent="0.25">
      <c r="A2224" s="10" t="str">
        <f>"0611863460050"</f>
        <v>0611863460050</v>
      </c>
      <c r="B2224" s="10" t="str">
        <f>"CR3551"</f>
        <v>CR3551</v>
      </c>
      <c r="C2224" s="10" t="s">
        <v>2197</v>
      </c>
    </row>
    <row r="2225" spans="1:3" s="10" customFormat="1" x14ac:dyDescent="0.25">
      <c r="A2225" s="10" t="str">
        <f>"0611863461050"</f>
        <v>0611863461050</v>
      </c>
      <c r="B2225" s="10" t="str">
        <f>"CR4039"</f>
        <v>CR4039</v>
      </c>
      <c r="C2225" s="10" t="s">
        <v>2198</v>
      </c>
    </row>
    <row r="2226" spans="1:3" s="10" customFormat="1" x14ac:dyDescent="0.25">
      <c r="A2226" s="10" t="str">
        <f>"0611863462050"</f>
        <v>0611863462050</v>
      </c>
      <c r="B2226" s="10" t="str">
        <f>"CR3552"</f>
        <v>CR3552</v>
      </c>
      <c r="C2226" s="10" t="s">
        <v>2199</v>
      </c>
    </row>
    <row r="2227" spans="1:3" s="10" customFormat="1" x14ac:dyDescent="0.25">
      <c r="A2227" s="10" t="str">
        <f>"0611863463050"</f>
        <v>0611863463050</v>
      </c>
      <c r="B2227" s="10" t="str">
        <f>"CR4844"</f>
        <v>CR4844</v>
      </c>
      <c r="C2227" s="10" t="s">
        <v>2200</v>
      </c>
    </row>
    <row r="2228" spans="1:3" s="10" customFormat="1" x14ac:dyDescent="0.25">
      <c r="A2228" s="10" t="str">
        <f>"0611863464050"</f>
        <v>0611863464050</v>
      </c>
      <c r="B2228" s="10" t="str">
        <f>"CR4046"</f>
        <v>CR4046</v>
      </c>
      <c r="C2228" s="10" t="s">
        <v>2201</v>
      </c>
    </row>
    <row r="2229" spans="1:3" s="10" customFormat="1" x14ac:dyDescent="0.25">
      <c r="A2229" s="10" t="str">
        <f>"0611863466050"</f>
        <v>0611863466050</v>
      </c>
      <c r="B2229" s="10" t="str">
        <f>"CR4991"</f>
        <v>CR4991</v>
      </c>
      <c r="C2229" s="10" t="s">
        <v>2203</v>
      </c>
    </row>
    <row r="2230" spans="1:3" s="10" customFormat="1" x14ac:dyDescent="0.25">
      <c r="A2230" s="10" t="str">
        <f>"0611863465050"</f>
        <v>0611863465050</v>
      </c>
      <c r="B2230" s="10" t="str">
        <f>"CR2450"</f>
        <v>CR2450</v>
      </c>
      <c r="C2230" s="10" t="s">
        <v>2202</v>
      </c>
    </row>
    <row r="2231" spans="1:3" s="10" customFormat="1" x14ac:dyDescent="0.25">
      <c r="A2231" s="10" t="str">
        <f>"0611863469050"</f>
        <v>0611863469050</v>
      </c>
      <c r="B2231" s="10" t="str">
        <f>"CR2449"</f>
        <v>CR2449</v>
      </c>
      <c r="C2231" s="10" t="s">
        <v>2206</v>
      </c>
    </row>
    <row r="2232" spans="1:3" s="10" customFormat="1" x14ac:dyDescent="0.25">
      <c r="A2232" s="10" t="str">
        <f>"0611863467050"</f>
        <v>0611863467050</v>
      </c>
      <c r="B2232" s="10" t="str">
        <f>"CR4845"</f>
        <v>CR4845</v>
      </c>
      <c r="C2232" s="10" t="s">
        <v>2204</v>
      </c>
    </row>
    <row r="2233" spans="1:3" s="10" customFormat="1" x14ac:dyDescent="0.25">
      <c r="A2233" s="10" t="str">
        <f>"0611863468050"</f>
        <v>0611863468050</v>
      </c>
      <c r="B2233" s="10" t="str">
        <f>"CR3553"</f>
        <v>CR3553</v>
      </c>
      <c r="C2233" s="10" t="s">
        <v>2205</v>
      </c>
    </row>
    <row r="2234" spans="1:3" s="10" customFormat="1" x14ac:dyDescent="0.25">
      <c r="A2234" s="10" t="str">
        <f>"0611863470050"</f>
        <v>0611863470050</v>
      </c>
      <c r="B2234" s="10" t="str">
        <f>"CR3554"</f>
        <v>CR3554</v>
      </c>
      <c r="C2234" s="10" t="s">
        <v>2207</v>
      </c>
    </row>
    <row r="2235" spans="1:3" s="10" customFormat="1" x14ac:dyDescent="0.25">
      <c r="A2235" s="10" t="str">
        <f>"0611863471050"</f>
        <v>0611863471050</v>
      </c>
      <c r="B2235" s="10" t="str">
        <f>"CR4992"</f>
        <v>CR4992</v>
      </c>
      <c r="C2235" s="10" t="s">
        <v>2208</v>
      </c>
    </row>
    <row r="2236" spans="1:3" s="10" customFormat="1" x14ac:dyDescent="0.25">
      <c r="A2236" s="10" t="str">
        <f>"0611863472050"</f>
        <v>0611863472050</v>
      </c>
      <c r="B2236" s="10" t="str">
        <f>"CR4993"</f>
        <v>CR4993</v>
      </c>
      <c r="C2236" s="10" t="s">
        <v>2209</v>
      </c>
    </row>
    <row r="2237" spans="1:3" s="10" customFormat="1" x14ac:dyDescent="0.25">
      <c r="A2237" s="10" t="str">
        <f>"0611863473050"</f>
        <v>0611863473050</v>
      </c>
      <c r="B2237" s="10" t="str">
        <f>"CR4047"</f>
        <v>CR4047</v>
      </c>
      <c r="C2237" s="10" t="s">
        <v>2210</v>
      </c>
    </row>
    <row r="2238" spans="1:3" s="10" customFormat="1" x14ac:dyDescent="0.25">
      <c r="A2238" s="10" t="str">
        <f>"0611863474050"</f>
        <v>0611863474050</v>
      </c>
      <c r="B2238" s="10" t="str">
        <f>"CR4846"</f>
        <v>CR4846</v>
      </c>
      <c r="C2238" s="10" t="s">
        <v>2211</v>
      </c>
    </row>
    <row r="2239" spans="1:3" s="10" customFormat="1" x14ac:dyDescent="0.25">
      <c r="A2239" s="10" t="str">
        <f>"0611863475050"</f>
        <v>0611863475050</v>
      </c>
      <c r="B2239" s="10" t="str">
        <f>"CR4044"</f>
        <v>CR4044</v>
      </c>
      <c r="C2239" s="10" t="s">
        <v>2212</v>
      </c>
    </row>
    <row r="2240" spans="1:3" s="10" customFormat="1" x14ac:dyDescent="0.25">
      <c r="A2240" s="10" t="str">
        <f>"0611893643050"</f>
        <v>0611893643050</v>
      </c>
      <c r="B2240" s="10" t="str">
        <f>"CR5366"</f>
        <v>CR5366</v>
      </c>
      <c r="C2240" s="10" t="s">
        <v>2213</v>
      </c>
    </row>
    <row r="2241" spans="1:3" s="10" customFormat="1" x14ac:dyDescent="0.25">
      <c r="A2241" s="10" t="str">
        <f>"0611893644050"</f>
        <v>0611893644050</v>
      </c>
      <c r="B2241" s="10" t="str">
        <f>"CR5447"</f>
        <v>CR5447</v>
      </c>
      <c r="C2241" s="10" t="s">
        <v>2214</v>
      </c>
    </row>
    <row r="2242" spans="1:3" s="10" customFormat="1" x14ac:dyDescent="0.25">
      <c r="A2242" s="10" t="str">
        <f>"0611863476050"</f>
        <v>0611863476050</v>
      </c>
      <c r="B2242" s="10" t="str">
        <f>"CR4847"</f>
        <v>CR4847</v>
      </c>
      <c r="C2242" s="10" t="s">
        <v>2215</v>
      </c>
    </row>
    <row r="2243" spans="1:3" s="10" customFormat="1" x14ac:dyDescent="0.25">
      <c r="A2243" s="10" t="str">
        <f>"0611863477050"</f>
        <v>0611863477050</v>
      </c>
      <c r="B2243" s="10" t="str">
        <f>"CR4848"</f>
        <v>CR4848</v>
      </c>
      <c r="C2243" s="10" t="s">
        <v>2216</v>
      </c>
    </row>
    <row r="2244" spans="1:3" s="10" customFormat="1" x14ac:dyDescent="0.25">
      <c r="A2244" s="10" t="str">
        <f>"0611863478050"</f>
        <v>0611863478050</v>
      </c>
      <c r="B2244" s="10" t="str">
        <f>"CR5219"</f>
        <v>CR5219</v>
      </c>
      <c r="C2244" s="10" t="s">
        <v>2217</v>
      </c>
    </row>
    <row r="2245" spans="1:3" s="10" customFormat="1" x14ac:dyDescent="0.25">
      <c r="A2245" s="10" t="str">
        <f>"0611863479050"</f>
        <v>0611863479050</v>
      </c>
      <c r="B2245" s="10" t="str">
        <f>"CR2737"</f>
        <v>CR2737</v>
      </c>
      <c r="C2245" s="10" t="s">
        <v>2218</v>
      </c>
    </row>
    <row r="2246" spans="1:3" s="10" customFormat="1" x14ac:dyDescent="0.25">
      <c r="A2246" s="10" t="str">
        <f>"0611863480050"</f>
        <v>0611863480050</v>
      </c>
      <c r="B2246" s="10" t="str">
        <f>"CR4045"</f>
        <v>CR4045</v>
      </c>
      <c r="C2246" s="10" t="s">
        <v>2219</v>
      </c>
    </row>
    <row r="2247" spans="1:3" s="10" customFormat="1" x14ac:dyDescent="0.25">
      <c r="A2247" s="10" t="str">
        <f>"0611863481050"</f>
        <v>0611863481050</v>
      </c>
      <c r="B2247" s="10" t="str">
        <f>"CR5220"</f>
        <v>CR5220</v>
      </c>
      <c r="C2247" s="10" t="s">
        <v>2220</v>
      </c>
    </row>
    <row r="2248" spans="1:3" s="10" customFormat="1" x14ac:dyDescent="0.25">
      <c r="A2248" s="10" t="str">
        <f>"0611863482050"</f>
        <v>0611863482050</v>
      </c>
      <c r="B2248" s="10" t="str">
        <f>"CR2452"</f>
        <v>CR2452</v>
      </c>
      <c r="C2248" s="10" t="s">
        <v>2221</v>
      </c>
    </row>
    <row r="2249" spans="1:3" s="10" customFormat="1" x14ac:dyDescent="0.25">
      <c r="A2249" s="10" t="str">
        <f>"0611863483050"</f>
        <v>0611863483050</v>
      </c>
      <c r="B2249" s="10" t="str">
        <f>"CR4994"</f>
        <v>CR4994</v>
      </c>
      <c r="C2249" s="10" t="s">
        <v>2222</v>
      </c>
    </row>
    <row r="2250" spans="1:3" s="10" customFormat="1" x14ac:dyDescent="0.25">
      <c r="A2250" s="10" t="str">
        <f>"0611863484050"</f>
        <v>0611863484050</v>
      </c>
      <c r="B2250" s="10" t="str">
        <f>"CR2454"</f>
        <v>CR2454</v>
      </c>
      <c r="C2250" s="10" t="s">
        <v>2223</v>
      </c>
    </row>
    <row r="2251" spans="1:3" s="10" customFormat="1" x14ac:dyDescent="0.25">
      <c r="A2251" s="10" t="str">
        <f>"0611863485050"</f>
        <v>0611863485050</v>
      </c>
      <c r="B2251" s="10" t="str">
        <f>"CR2792"</f>
        <v>CR2792</v>
      </c>
      <c r="C2251" s="10" t="s">
        <v>2224</v>
      </c>
    </row>
    <row r="2252" spans="1:3" s="10" customFormat="1" x14ac:dyDescent="0.25">
      <c r="A2252" s="10" t="str">
        <f>"0611863486050"</f>
        <v>0611863486050</v>
      </c>
      <c r="B2252" s="10" t="str">
        <f>"CR4995"</f>
        <v>CR4995</v>
      </c>
      <c r="C2252" s="10" t="s">
        <v>2225</v>
      </c>
    </row>
    <row r="2253" spans="1:3" s="10" customFormat="1" x14ac:dyDescent="0.25">
      <c r="A2253" s="10" t="str">
        <f>"0611863487050"</f>
        <v>0611863487050</v>
      </c>
      <c r="B2253" s="10" t="str">
        <f>"CR2794"</f>
        <v>CR2794</v>
      </c>
      <c r="C2253" s="10" t="s">
        <v>2226</v>
      </c>
    </row>
    <row r="2254" spans="1:3" s="10" customFormat="1" x14ac:dyDescent="0.25">
      <c r="A2254" s="10" t="str">
        <f>"0611863488050"</f>
        <v>0611863488050</v>
      </c>
      <c r="B2254" s="10" t="str">
        <f>"CR4996"</f>
        <v>CR4996</v>
      </c>
      <c r="C2254" s="10" t="s">
        <v>2227</v>
      </c>
    </row>
    <row r="2255" spans="1:3" s="10" customFormat="1" x14ac:dyDescent="0.25">
      <c r="A2255" s="10" t="str">
        <f>"0611863489050"</f>
        <v>0611863489050</v>
      </c>
      <c r="B2255" s="10" t="str">
        <f>"CR4849"</f>
        <v>CR4849</v>
      </c>
      <c r="C2255" s="10" t="s">
        <v>2228</v>
      </c>
    </row>
    <row r="2256" spans="1:3" s="10" customFormat="1" x14ac:dyDescent="0.25">
      <c r="A2256" s="10" t="str">
        <f>"0611863490050"</f>
        <v>0611863490050</v>
      </c>
      <c r="B2256" s="10" t="str">
        <f>"CR5221"</f>
        <v>CR5221</v>
      </c>
      <c r="C2256" s="10" t="s">
        <v>2229</v>
      </c>
    </row>
    <row r="2257" spans="1:3" s="10" customFormat="1" x14ac:dyDescent="0.25">
      <c r="A2257" s="10" t="str">
        <f>"0611863493050"</f>
        <v>0611863493050</v>
      </c>
      <c r="B2257" s="10" t="str">
        <f>"CR4997"</f>
        <v>CR4997</v>
      </c>
      <c r="C2257" s="10" t="s">
        <v>2231</v>
      </c>
    </row>
    <row r="2258" spans="1:3" s="10" customFormat="1" x14ac:dyDescent="0.25">
      <c r="A2258" s="10" t="str">
        <f>"0611863491050"</f>
        <v>0611863491050</v>
      </c>
      <c r="B2258" s="10" t="str">
        <f>"CR2455"</f>
        <v>CR2455</v>
      </c>
      <c r="C2258" s="10" t="s">
        <v>2230</v>
      </c>
    </row>
    <row r="2259" spans="1:3" s="10" customFormat="1" x14ac:dyDescent="0.25">
      <c r="A2259" s="10" t="str">
        <f>"0611863495050"</f>
        <v>0611863495050</v>
      </c>
      <c r="B2259" s="10" t="str">
        <f>"CR2456"</f>
        <v>CR2456</v>
      </c>
      <c r="C2259" s="10" t="s">
        <v>2232</v>
      </c>
    </row>
    <row r="2260" spans="1:3" s="10" customFormat="1" x14ac:dyDescent="0.25">
      <c r="A2260" s="10" t="str">
        <f>"0611863497050"</f>
        <v>0611863497050</v>
      </c>
      <c r="B2260" s="10" t="str">
        <f>"CR4050"</f>
        <v>CR4050</v>
      </c>
      <c r="C2260" s="10" t="s">
        <v>2233</v>
      </c>
    </row>
    <row r="2261" spans="1:3" s="10" customFormat="1" x14ac:dyDescent="0.25">
      <c r="A2261" s="10" t="str">
        <f>"0611863498050"</f>
        <v>0611863498050</v>
      </c>
      <c r="B2261" s="10" t="str">
        <f>"CR2458"</f>
        <v>CR2458</v>
      </c>
      <c r="C2261" s="10" t="s">
        <v>2234</v>
      </c>
    </row>
    <row r="2262" spans="1:3" s="10" customFormat="1" x14ac:dyDescent="0.25">
      <c r="A2262" s="10" t="str">
        <f>"0611863499050"</f>
        <v>0611863499050</v>
      </c>
      <c r="B2262" s="10" t="str">
        <f>"CR2457"</f>
        <v>CR2457</v>
      </c>
      <c r="C2262" s="10" t="s">
        <v>2235</v>
      </c>
    </row>
    <row r="2263" spans="1:3" s="10" customFormat="1" x14ac:dyDescent="0.25">
      <c r="A2263" s="10" t="str">
        <f>"0611863500050"</f>
        <v>0611863500050</v>
      </c>
      <c r="B2263" s="10" t="str">
        <f>"CR4051"</f>
        <v>CR4051</v>
      </c>
      <c r="C2263" s="10" t="s">
        <v>2236</v>
      </c>
    </row>
    <row r="2264" spans="1:3" s="10" customFormat="1" x14ac:dyDescent="0.25">
      <c r="A2264" s="10" t="str">
        <f>"0611893645050"</f>
        <v>0611893645050</v>
      </c>
      <c r="B2264" s="10" t="str">
        <f>"CR5334"</f>
        <v>CR5334</v>
      </c>
      <c r="C2264" s="10" t="s">
        <v>2237</v>
      </c>
    </row>
    <row r="2265" spans="1:3" s="10" customFormat="1" x14ac:dyDescent="0.25">
      <c r="A2265" s="10" t="str">
        <f>"0611863501050"</f>
        <v>0611863501050</v>
      </c>
      <c r="B2265" s="10" t="str">
        <f>"CR4998"</f>
        <v>CR4998</v>
      </c>
      <c r="C2265" s="10" t="s">
        <v>2238</v>
      </c>
    </row>
    <row r="2266" spans="1:3" s="10" customFormat="1" x14ac:dyDescent="0.25">
      <c r="A2266" s="10" t="str">
        <f>"0611863502050"</f>
        <v>0611863502050</v>
      </c>
      <c r="B2266" s="10" t="str">
        <f>"CR4052"</f>
        <v>CR4052</v>
      </c>
      <c r="C2266" s="10" t="s">
        <v>2239</v>
      </c>
    </row>
    <row r="2267" spans="1:3" s="10" customFormat="1" x14ac:dyDescent="0.25">
      <c r="A2267" s="10" t="str">
        <f>"0611863503050"</f>
        <v>0611863503050</v>
      </c>
      <c r="B2267" s="10" t="str">
        <f>"CR4999"</f>
        <v>CR4999</v>
      </c>
      <c r="C2267" s="10" t="s">
        <v>2240</v>
      </c>
    </row>
    <row r="2268" spans="1:3" s="10" customFormat="1" x14ac:dyDescent="0.25">
      <c r="A2268" s="10" t="str">
        <f>"0611893646050"</f>
        <v>0611893646050</v>
      </c>
      <c r="B2268" s="10" t="str">
        <f>"CR5367"</f>
        <v>CR5367</v>
      </c>
      <c r="C2268" s="10" t="s">
        <v>2241</v>
      </c>
    </row>
    <row r="2269" spans="1:3" s="10" customFormat="1" x14ac:dyDescent="0.25">
      <c r="A2269" s="10" t="str">
        <f>"0611893647050"</f>
        <v>0611893647050</v>
      </c>
      <c r="B2269" s="10" t="str">
        <f>"CR5359"</f>
        <v>CR5359</v>
      </c>
      <c r="C2269" s="10" t="s">
        <v>2242</v>
      </c>
    </row>
    <row r="2270" spans="1:3" s="10" customFormat="1" x14ac:dyDescent="0.25">
      <c r="A2270" s="10" t="str">
        <f>"0611893648050"</f>
        <v>0611893648050</v>
      </c>
      <c r="B2270" s="10" t="str">
        <f>"CR5372"</f>
        <v>CR5372</v>
      </c>
      <c r="C2270" s="10" t="s">
        <v>2243</v>
      </c>
    </row>
    <row r="2271" spans="1:3" s="10" customFormat="1" x14ac:dyDescent="0.25">
      <c r="A2271" s="10" t="str">
        <f>"0611863522050"</f>
        <v>0611863522050</v>
      </c>
      <c r="B2271" s="10" t="str">
        <f>"CR4855"</f>
        <v>CR4855</v>
      </c>
      <c r="C2271" s="10" t="s">
        <v>2244</v>
      </c>
    </row>
    <row r="2272" spans="1:3" s="10" customFormat="1" x14ac:dyDescent="0.25">
      <c r="A2272" s="10" t="str">
        <f>"0611863523050"</f>
        <v>0611863523050</v>
      </c>
      <c r="B2272" s="10" t="str">
        <f>"CR4850"</f>
        <v>CR4850</v>
      </c>
      <c r="C2272" s="10" t="s">
        <v>2245</v>
      </c>
    </row>
    <row r="2273" spans="1:3" s="10" customFormat="1" x14ac:dyDescent="0.25">
      <c r="A2273" s="10" t="str">
        <f>"0611863524050"</f>
        <v>0611863524050</v>
      </c>
      <c r="B2273" s="10" t="str">
        <f>"CR4851"</f>
        <v>CR4851</v>
      </c>
      <c r="C2273" s="10" t="s">
        <v>2246</v>
      </c>
    </row>
    <row r="2274" spans="1:3" s="10" customFormat="1" x14ac:dyDescent="0.25">
      <c r="A2274" s="10" t="str">
        <f>"0611863525050"</f>
        <v>0611863525050</v>
      </c>
      <c r="B2274" s="10" t="str">
        <f>"CR4852"</f>
        <v>CR4852</v>
      </c>
      <c r="C2274" s="10" t="s">
        <v>2247</v>
      </c>
    </row>
    <row r="2275" spans="1:3" s="10" customFormat="1" x14ac:dyDescent="0.25">
      <c r="A2275" s="10" t="str">
        <f>"0611863526050"</f>
        <v>0611863526050</v>
      </c>
      <c r="B2275" s="10" t="str">
        <f>"CR5000"</f>
        <v>CR5000</v>
      </c>
      <c r="C2275" s="10" t="s">
        <v>2248</v>
      </c>
    </row>
    <row r="2276" spans="1:3" s="10" customFormat="1" x14ac:dyDescent="0.25">
      <c r="A2276" s="10" t="str">
        <f>"0611863527050"</f>
        <v>0611863527050</v>
      </c>
      <c r="B2276" s="10" t="str">
        <f>"CR4055"</f>
        <v>CR4055</v>
      </c>
      <c r="C2276" s="10" t="s">
        <v>2249</v>
      </c>
    </row>
    <row r="2277" spans="1:3" s="10" customFormat="1" x14ac:dyDescent="0.25">
      <c r="A2277" s="10" t="str">
        <f>"0611863528050"</f>
        <v>0611863528050</v>
      </c>
      <c r="B2277" s="10" t="str">
        <f>"CR5001"</f>
        <v>CR5001</v>
      </c>
      <c r="C2277" s="10" t="s">
        <v>2250</v>
      </c>
    </row>
    <row r="2278" spans="1:3" s="10" customFormat="1" x14ac:dyDescent="0.25">
      <c r="A2278" s="10" t="str">
        <f>"0611863529050"</f>
        <v>0611863529050</v>
      </c>
      <c r="B2278" s="10" t="str">
        <f>"CR4854"</f>
        <v>CR4854</v>
      </c>
      <c r="C2278" s="10" t="s">
        <v>2251</v>
      </c>
    </row>
    <row r="2279" spans="1:3" s="10" customFormat="1" x14ac:dyDescent="0.25">
      <c r="A2279" s="10" t="str">
        <f>"0611863530050"</f>
        <v>0611863530050</v>
      </c>
      <c r="B2279" s="10" t="str">
        <f>"CR4853"</f>
        <v>CR4853</v>
      </c>
      <c r="C2279" s="10" t="s">
        <v>2252</v>
      </c>
    </row>
    <row r="2280" spans="1:3" s="10" customFormat="1" x14ac:dyDescent="0.25">
      <c r="A2280" s="10" t="str">
        <f>"0611863531050"</f>
        <v>0611863531050</v>
      </c>
      <c r="B2280" s="10" t="str">
        <f>"CR5002"</f>
        <v>CR5002</v>
      </c>
      <c r="C2280" s="10" t="s">
        <v>2253</v>
      </c>
    </row>
    <row r="2281" spans="1:3" s="10" customFormat="1" x14ac:dyDescent="0.25">
      <c r="A2281" s="10" t="str">
        <f>"0611863532050"</f>
        <v>0611863532050</v>
      </c>
      <c r="B2281" s="10" t="str">
        <f>"CR5003"</f>
        <v>CR5003</v>
      </c>
      <c r="C2281" s="10" t="s">
        <v>2254</v>
      </c>
    </row>
    <row r="2282" spans="1:3" s="10" customFormat="1" x14ac:dyDescent="0.25">
      <c r="A2282" s="10" t="str">
        <f>"0611893652050"</f>
        <v>0611893652050</v>
      </c>
      <c r="B2282" s="10" t="str">
        <f>"CR5407"</f>
        <v>CR5407</v>
      </c>
      <c r="C2282" s="10" t="s">
        <v>2255</v>
      </c>
    </row>
    <row r="2283" spans="1:3" s="10" customFormat="1" x14ac:dyDescent="0.25">
      <c r="A2283" s="10" t="str">
        <f>"0611863533050"</f>
        <v>0611863533050</v>
      </c>
      <c r="B2283" s="10" t="str">
        <f>"CR5222"</f>
        <v>CR5222</v>
      </c>
      <c r="C2283" s="10" t="s">
        <v>2256</v>
      </c>
    </row>
    <row r="2284" spans="1:3" s="10" customFormat="1" x14ac:dyDescent="0.25">
      <c r="A2284" s="10" t="str">
        <f>"0611863534050"</f>
        <v>0611863534050</v>
      </c>
      <c r="B2284" s="10" t="str">
        <f>"CR5223"</f>
        <v>CR5223</v>
      </c>
      <c r="C2284" s="10" t="s">
        <v>2257</v>
      </c>
    </row>
    <row r="2285" spans="1:3" s="10" customFormat="1" x14ac:dyDescent="0.25">
      <c r="A2285" s="10" t="str">
        <f>"0611863535050"</f>
        <v>0611863535050</v>
      </c>
      <c r="B2285" s="10" t="str">
        <f>"CR5224"</f>
        <v>CR5224</v>
      </c>
      <c r="C2285" s="10" t="s">
        <v>2258</v>
      </c>
    </row>
    <row r="2286" spans="1:3" s="10" customFormat="1" x14ac:dyDescent="0.25">
      <c r="A2286" s="10" t="str">
        <f>"0611893653050"</f>
        <v>0611893653050</v>
      </c>
      <c r="B2286" s="10" t="str">
        <f>"CR5351"</f>
        <v>CR5351</v>
      </c>
      <c r="C2286" s="10" t="s">
        <v>2259</v>
      </c>
    </row>
    <row r="2287" spans="1:3" s="10" customFormat="1" x14ac:dyDescent="0.25">
      <c r="A2287" s="10" t="str">
        <f>"0611863536050"</f>
        <v>0611863536050</v>
      </c>
      <c r="B2287" s="10" t="str">
        <f>"CR5225"</f>
        <v>CR5225</v>
      </c>
      <c r="C2287" s="10" t="s">
        <v>2260</v>
      </c>
    </row>
    <row r="2288" spans="1:3" s="10" customFormat="1" x14ac:dyDescent="0.25">
      <c r="A2288" s="10" t="str">
        <f>"0611863537050"</f>
        <v>0611863537050</v>
      </c>
      <c r="B2288" s="10" t="str">
        <f>"CR5226"</f>
        <v>CR5226</v>
      </c>
      <c r="C2288" s="10" t="s">
        <v>2261</v>
      </c>
    </row>
    <row r="2289" spans="1:3" s="10" customFormat="1" x14ac:dyDescent="0.25">
      <c r="A2289" s="10" t="str">
        <f>"0611863538050"</f>
        <v>0611863538050</v>
      </c>
      <c r="B2289" s="10" t="str">
        <f>"CR3332"</f>
        <v>CR3332</v>
      </c>
      <c r="C2289" s="10" t="s">
        <v>2262</v>
      </c>
    </row>
    <row r="2290" spans="1:3" s="10" customFormat="1" x14ac:dyDescent="0.25">
      <c r="A2290" s="10" t="str">
        <f>"0611863539050"</f>
        <v>0611863539050</v>
      </c>
      <c r="B2290" s="10" t="str">
        <f>"CR2891"</f>
        <v>CR2891</v>
      </c>
      <c r="C2290" s="10" t="s">
        <v>2263</v>
      </c>
    </row>
    <row r="2291" spans="1:3" s="10" customFormat="1" x14ac:dyDescent="0.25">
      <c r="A2291" s="10" t="str">
        <f>"0611863540050"</f>
        <v>0611863540050</v>
      </c>
      <c r="B2291" s="10" t="str">
        <f>"CR2892"</f>
        <v>CR2892</v>
      </c>
      <c r="C2291" s="10" t="s">
        <v>2264</v>
      </c>
    </row>
    <row r="2292" spans="1:3" s="10" customFormat="1" x14ac:dyDescent="0.25">
      <c r="A2292" s="10" t="str">
        <f>"0611863541050"</f>
        <v>0611863541050</v>
      </c>
      <c r="B2292" s="10" t="str">
        <f>"CR4068"</f>
        <v>CR4068</v>
      </c>
      <c r="C2292" s="10" t="s">
        <v>2265</v>
      </c>
    </row>
    <row r="2293" spans="1:3" s="10" customFormat="1" x14ac:dyDescent="0.25">
      <c r="A2293" s="10" t="str">
        <f>"0611863542050"</f>
        <v>0611863542050</v>
      </c>
      <c r="B2293" s="10" t="str">
        <f>"CR4069"</f>
        <v>CR4069</v>
      </c>
      <c r="C2293" s="10" t="s">
        <v>2266</v>
      </c>
    </row>
    <row r="2294" spans="1:3" s="10" customFormat="1" x14ac:dyDescent="0.25">
      <c r="A2294" s="10" t="str">
        <f>"0611863543050"</f>
        <v>0611863543050</v>
      </c>
      <c r="B2294" s="10" t="str">
        <f>"CR2901"</f>
        <v>CR2901</v>
      </c>
      <c r="C2294" s="10" t="s">
        <v>2267</v>
      </c>
    </row>
    <row r="2295" spans="1:3" s="10" customFormat="1" x14ac:dyDescent="0.25">
      <c r="A2295" s="10" t="str">
        <f>"0611863544050"</f>
        <v>0611863544050</v>
      </c>
      <c r="B2295" s="10" t="str">
        <f>"CR2903"</f>
        <v>CR2903</v>
      </c>
      <c r="C2295" s="10" t="s">
        <v>2268</v>
      </c>
    </row>
    <row r="2296" spans="1:3" s="10" customFormat="1" x14ac:dyDescent="0.25">
      <c r="A2296" s="10" t="str">
        <f>"0611863545050"</f>
        <v>0611863545050</v>
      </c>
      <c r="B2296" s="10" t="str">
        <f>"CR2904"</f>
        <v>CR2904</v>
      </c>
      <c r="C2296" s="10" t="s">
        <v>2269</v>
      </c>
    </row>
    <row r="2297" spans="1:3" s="10" customFormat="1" x14ac:dyDescent="0.25">
      <c r="A2297" s="10" t="str">
        <f>"0611863546050"</f>
        <v>0611863546050</v>
      </c>
      <c r="B2297" s="10" t="str">
        <f>"CR2905"</f>
        <v>CR2905</v>
      </c>
      <c r="C2297" s="10" t="s">
        <v>2270</v>
      </c>
    </row>
    <row r="2298" spans="1:3" s="10" customFormat="1" x14ac:dyDescent="0.25">
      <c r="A2298" s="10" t="str">
        <f>"0611863547050"</f>
        <v>0611863547050</v>
      </c>
      <c r="B2298" s="10" t="str">
        <f>"CR2473"</f>
        <v>CR2473</v>
      </c>
      <c r="C2298" s="10" t="s">
        <v>2271</v>
      </c>
    </row>
    <row r="2299" spans="1:3" s="10" customFormat="1" x14ac:dyDescent="0.25">
      <c r="A2299" s="10" t="str">
        <f>"0611863552050"</f>
        <v>0611863552050</v>
      </c>
      <c r="B2299" s="10" t="str">
        <f>"CR3558"</f>
        <v>CR3558</v>
      </c>
      <c r="C2299" s="10" t="s">
        <v>2272</v>
      </c>
    </row>
    <row r="2300" spans="1:3" s="10" customFormat="1" x14ac:dyDescent="0.25">
      <c r="A2300" s="10" t="str">
        <f>"0611863553050"</f>
        <v>0611863553050</v>
      </c>
      <c r="B2300" s="10" t="str">
        <f>"CR5227"</f>
        <v>CR5227</v>
      </c>
      <c r="C2300" s="10" t="s">
        <v>2273</v>
      </c>
    </row>
    <row r="2301" spans="1:3" s="10" customFormat="1" x14ac:dyDescent="0.25">
      <c r="A2301" s="10" t="str">
        <f>"0611863554050"</f>
        <v>0611863554050</v>
      </c>
      <c r="B2301" s="10" t="str">
        <f>"CR5004"</f>
        <v>CR5004</v>
      </c>
      <c r="C2301" s="10" t="s">
        <v>2274</v>
      </c>
    </row>
    <row r="2302" spans="1:3" s="10" customFormat="1" x14ac:dyDescent="0.25">
      <c r="A2302" s="10" t="str">
        <f>"0611863555050"</f>
        <v>0611863555050</v>
      </c>
      <c r="B2302" s="10" t="str">
        <f>"CR2138"</f>
        <v>CR2138</v>
      </c>
      <c r="C2302" s="10" t="s">
        <v>2275</v>
      </c>
    </row>
    <row r="2303" spans="1:3" s="10" customFormat="1" x14ac:dyDescent="0.25">
      <c r="A2303" s="10" t="str">
        <f>"0611863561050"</f>
        <v>0611863561050</v>
      </c>
      <c r="B2303" s="10" t="str">
        <f>"CR5005"</f>
        <v>CR5005</v>
      </c>
      <c r="C2303" s="10" t="s">
        <v>2276</v>
      </c>
    </row>
    <row r="2304" spans="1:3" s="10" customFormat="1" x14ac:dyDescent="0.25">
      <c r="A2304" s="10" t="str">
        <f>"0611863562050"</f>
        <v>0611863562050</v>
      </c>
      <c r="B2304" s="10" t="str">
        <f>"CR3559"</f>
        <v>CR3559</v>
      </c>
      <c r="C2304" s="10" t="s">
        <v>2277</v>
      </c>
    </row>
    <row r="2305" spans="1:3" s="10" customFormat="1" x14ac:dyDescent="0.25">
      <c r="A2305" s="10" t="str">
        <f>"0611906588050"</f>
        <v>0611906588050</v>
      </c>
      <c r="B2305" s="10" t="str">
        <f>"CR5504"</f>
        <v>CR5504</v>
      </c>
      <c r="C2305" s="10" t="s">
        <v>2278</v>
      </c>
    </row>
    <row r="2306" spans="1:3" s="10" customFormat="1" x14ac:dyDescent="0.25">
      <c r="A2306" s="10" t="str">
        <f>"0611863563050"</f>
        <v>0611863563050</v>
      </c>
      <c r="B2306" s="10" t="str">
        <f>"CR3560"</f>
        <v>CR3560</v>
      </c>
      <c r="C2306" s="10" t="s">
        <v>2279</v>
      </c>
    </row>
    <row r="2307" spans="1:3" s="10" customFormat="1" x14ac:dyDescent="0.25">
      <c r="A2307" s="10" t="str">
        <f>"0611863564050"</f>
        <v>0611863564050</v>
      </c>
      <c r="B2307" s="10" t="str">
        <f>"CR3561"</f>
        <v>CR3561</v>
      </c>
      <c r="C2307" s="10" t="s">
        <v>2280</v>
      </c>
    </row>
    <row r="2308" spans="1:3" s="10" customFormat="1" x14ac:dyDescent="0.25">
      <c r="A2308" s="10" t="str">
        <f>"0611863565050"</f>
        <v>0611863565050</v>
      </c>
      <c r="B2308" s="10" t="str">
        <f>"CR3562"</f>
        <v>CR3562</v>
      </c>
      <c r="C2308" s="10" t="s">
        <v>2281</v>
      </c>
    </row>
    <row r="2309" spans="1:3" s="10" customFormat="1" x14ac:dyDescent="0.25">
      <c r="A2309" s="10" t="str">
        <f>"0611863566050"</f>
        <v>0611863566050</v>
      </c>
      <c r="B2309" s="10" t="str">
        <f>"CR5006"</f>
        <v>CR5006</v>
      </c>
      <c r="C2309" s="10" t="s">
        <v>2282</v>
      </c>
    </row>
    <row r="2310" spans="1:3" s="10" customFormat="1" x14ac:dyDescent="0.25">
      <c r="A2310" s="10" t="str">
        <f>"0611863567050"</f>
        <v>0611863567050</v>
      </c>
      <c r="B2310" s="10" t="str">
        <f>"CR2476"</f>
        <v>CR2476</v>
      </c>
      <c r="C2310" s="10" t="s">
        <v>2283</v>
      </c>
    </row>
    <row r="2311" spans="1:3" s="10" customFormat="1" x14ac:dyDescent="0.25">
      <c r="A2311" s="10" t="str">
        <f>"0611863568050"</f>
        <v>0611863568050</v>
      </c>
      <c r="B2311" s="10" t="str">
        <f>"CR3734"</f>
        <v>CR3734</v>
      </c>
      <c r="C2311" s="10" t="s">
        <v>2284</v>
      </c>
    </row>
    <row r="2312" spans="1:3" s="10" customFormat="1" x14ac:dyDescent="0.25">
      <c r="A2312" s="10" t="str">
        <f>"0611863569050"</f>
        <v>0611863569050</v>
      </c>
      <c r="B2312" s="10" t="str">
        <f>"CR2477"</f>
        <v>CR2477</v>
      </c>
      <c r="C2312" s="10" t="s">
        <v>2285</v>
      </c>
    </row>
    <row r="2313" spans="1:3" s="10" customFormat="1" x14ac:dyDescent="0.25">
      <c r="A2313" s="10" t="str">
        <f>"0611863570050"</f>
        <v>0611863570050</v>
      </c>
      <c r="B2313" s="10" t="str">
        <f>"CR3138"</f>
        <v>CR3138</v>
      </c>
      <c r="C2313" s="10" t="s">
        <v>2286</v>
      </c>
    </row>
    <row r="2314" spans="1:3" s="10" customFormat="1" x14ac:dyDescent="0.25">
      <c r="A2314" s="10" t="str">
        <f>"0611884384050"</f>
        <v>0611884384050</v>
      </c>
      <c r="B2314" s="10" t="str">
        <f>"CR5418"</f>
        <v>CR5418</v>
      </c>
      <c r="C2314" s="10" t="s">
        <v>2287</v>
      </c>
    </row>
    <row r="2315" spans="1:3" s="10" customFormat="1" x14ac:dyDescent="0.25">
      <c r="A2315" s="10" t="str">
        <f>"0611863571050"</f>
        <v>0611863571050</v>
      </c>
      <c r="B2315" s="10" t="str">
        <f>"CR2741"</f>
        <v>CR2741</v>
      </c>
      <c r="C2315" s="10" t="s">
        <v>2288</v>
      </c>
    </row>
    <row r="2316" spans="1:3" s="10" customFormat="1" x14ac:dyDescent="0.25">
      <c r="A2316" s="10" t="str">
        <f>"0611863572050"</f>
        <v>0611863572050</v>
      </c>
      <c r="B2316" s="10" t="str">
        <f>"CR3140"</f>
        <v>CR3140</v>
      </c>
      <c r="C2316" s="10" t="s">
        <v>2289</v>
      </c>
    </row>
    <row r="2317" spans="1:3" s="10" customFormat="1" x14ac:dyDescent="0.25">
      <c r="A2317" s="10" t="str">
        <f>"0611863573050"</f>
        <v>0611863573050</v>
      </c>
      <c r="B2317" s="10" t="str">
        <f>"CR2479"</f>
        <v>CR2479</v>
      </c>
      <c r="C2317" s="10" t="s">
        <v>2290</v>
      </c>
    </row>
    <row r="2318" spans="1:3" s="10" customFormat="1" x14ac:dyDescent="0.25">
      <c r="A2318" s="10" t="str">
        <f>"0611863574050"</f>
        <v>0611863574050</v>
      </c>
      <c r="B2318" s="10" t="str">
        <f>"CR2480"</f>
        <v>CR2480</v>
      </c>
      <c r="C2318" s="10" t="s">
        <v>2291</v>
      </c>
    </row>
    <row r="2319" spans="1:3" s="10" customFormat="1" x14ac:dyDescent="0.25">
      <c r="A2319" s="10" t="str">
        <f>"0611863575050"</f>
        <v>0611863575050</v>
      </c>
      <c r="B2319" s="10" t="str">
        <f>"CR4865"</f>
        <v>CR4865</v>
      </c>
      <c r="C2319" s="10" t="s">
        <v>2292</v>
      </c>
    </row>
    <row r="2320" spans="1:3" s="10" customFormat="1" x14ac:dyDescent="0.25">
      <c r="A2320" s="10" t="str">
        <f>"0611863576050"</f>
        <v>0611863576050</v>
      </c>
      <c r="B2320" s="10" t="str">
        <f>"CR2140"</f>
        <v>CR2140</v>
      </c>
      <c r="C2320" s="10" t="s">
        <v>2293</v>
      </c>
    </row>
    <row r="2321" spans="1:3" s="10" customFormat="1" x14ac:dyDescent="0.25">
      <c r="A2321" s="10" t="str">
        <f>"0611863577050"</f>
        <v>0611863577050</v>
      </c>
      <c r="B2321" s="10" t="str">
        <f>"CR2482"</f>
        <v>CR2482</v>
      </c>
      <c r="C2321" s="10" t="s">
        <v>2294</v>
      </c>
    </row>
    <row r="2322" spans="1:3" s="10" customFormat="1" x14ac:dyDescent="0.25">
      <c r="A2322" s="10" t="str">
        <f>"0611863578050"</f>
        <v>0611863578050</v>
      </c>
      <c r="B2322" s="10" t="str">
        <f>"CR3772"</f>
        <v>CR3772</v>
      </c>
      <c r="C2322" s="10" t="s">
        <v>2295</v>
      </c>
    </row>
    <row r="2323" spans="1:3" s="10" customFormat="1" x14ac:dyDescent="0.25">
      <c r="A2323" s="10" t="str">
        <f>"0611863579050"</f>
        <v>0611863579050</v>
      </c>
      <c r="B2323" s="10" t="str">
        <f>"CR5007"</f>
        <v>CR5007</v>
      </c>
      <c r="C2323" s="10" t="s">
        <v>2296</v>
      </c>
    </row>
    <row r="2324" spans="1:3" s="10" customFormat="1" x14ac:dyDescent="0.25">
      <c r="A2324" s="10" t="str">
        <f>"0611863580050"</f>
        <v>0611863580050</v>
      </c>
      <c r="B2324" s="10" t="str">
        <f>"CR3903"</f>
        <v>CR3903</v>
      </c>
      <c r="C2324" s="10" t="s">
        <v>2297</v>
      </c>
    </row>
    <row r="2325" spans="1:3" s="10" customFormat="1" x14ac:dyDescent="0.25">
      <c r="A2325" s="10" t="str">
        <f>"0611863581050"</f>
        <v>0611863581050</v>
      </c>
      <c r="B2325" s="10" t="str">
        <f>"CR4856"</f>
        <v>CR4856</v>
      </c>
      <c r="C2325" s="10" t="s">
        <v>2298</v>
      </c>
    </row>
    <row r="2326" spans="1:3" s="10" customFormat="1" x14ac:dyDescent="0.25">
      <c r="A2326" s="10" t="str">
        <f>"0611863582050"</f>
        <v>0611863582050</v>
      </c>
      <c r="B2326" s="10" t="str">
        <f>"CR2484"</f>
        <v>CR2484</v>
      </c>
      <c r="C2326" s="10" t="s">
        <v>2299</v>
      </c>
    </row>
    <row r="2327" spans="1:3" s="10" customFormat="1" x14ac:dyDescent="0.25">
      <c r="A2327" s="10" t="str">
        <f>"0611863584050"</f>
        <v>0611863584050</v>
      </c>
      <c r="B2327" s="10" t="str">
        <f>"CR3142"</f>
        <v>CR3142</v>
      </c>
      <c r="C2327" s="10" t="s">
        <v>2300</v>
      </c>
    </row>
    <row r="2328" spans="1:3" s="10" customFormat="1" x14ac:dyDescent="0.25">
      <c r="A2328" s="10" t="str">
        <f>"0611863585050"</f>
        <v>0611863585050</v>
      </c>
      <c r="B2328" s="10" t="str">
        <f>"CR2742"</f>
        <v>CR2742</v>
      </c>
      <c r="C2328" s="10" t="s">
        <v>2301</v>
      </c>
    </row>
    <row r="2329" spans="1:3" s="10" customFormat="1" x14ac:dyDescent="0.25">
      <c r="A2329" s="10" t="str">
        <f>"0611863586050"</f>
        <v>0611863586050</v>
      </c>
      <c r="B2329" s="10" t="str">
        <f>"CR2488"</f>
        <v>CR2488</v>
      </c>
      <c r="C2329" s="10" t="s">
        <v>2302</v>
      </c>
    </row>
    <row r="2330" spans="1:3" s="10" customFormat="1" x14ac:dyDescent="0.25">
      <c r="A2330" s="10" t="str">
        <f>"0611863587050"</f>
        <v>0611863587050</v>
      </c>
      <c r="B2330" s="10" t="str">
        <f>"CR3906"</f>
        <v>CR3906</v>
      </c>
      <c r="C2330" s="10" t="s">
        <v>2303</v>
      </c>
    </row>
    <row r="2331" spans="1:3" s="10" customFormat="1" x14ac:dyDescent="0.25">
      <c r="A2331" s="10" t="str">
        <f>"0611863588050"</f>
        <v>0611863588050</v>
      </c>
      <c r="B2331" s="10" t="str">
        <f>"CR2743"</f>
        <v>CR2743</v>
      </c>
      <c r="C2331" s="10" t="s">
        <v>2304</v>
      </c>
    </row>
    <row r="2332" spans="1:3" s="10" customFormat="1" x14ac:dyDescent="0.25">
      <c r="A2332" s="10" t="str">
        <f>"0611863589050"</f>
        <v>0611863589050</v>
      </c>
      <c r="B2332" s="10" t="str">
        <f>"CR5042"</f>
        <v>CR5042</v>
      </c>
      <c r="C2332" s="10" t="s">
        <v>2305</v>
      </c>
    </row>
    <row r="2333" spans="1:3" s="10" customFormat="1" x14ac:dyDescent="0.25">
      <c r="A2333" s="10" t="str">
        <f>"0611863590050"</f>
        <v>0611863590050</v>
      </c>
      <c r="B2333" s="10" t="str">
        <f>"CR3143"</f>
        <v>CR3143</v>
      </c>
      <c r="C2333" s="10" t="s">
        <v>2306</v>
      </c>
    </row>
    <row r="2334" spans="1:3" s="10" customFormat="1" x14ac:dyDescent="0.25">
      <c r="A2334" s="10" t="str">
        <f>"0611863592050"</f>
        <v>0611863592050</v>
      </c>
      <c r="B2334" s="10" t="str">
        <f>"CR2744"</f>
        <v>CR2744</v>
      </c>
      <c r="C2334" s="10" t="s">
        <v>2307</v>
      </c>
    </row>
    <row r="2335" spans="1:3" s="10" customFormat="1" x14ac:dyDescent="0.25">
      <c r="A2335" s="10" t="str">
        <f>"0611863593050"</f>
        <v>0611863593050</v>
      </c>
      <c r="B2335" s="10" t="str">
        <f>"CR4773"</f>
        <v>CR4773</v>
      </c>
      <c r="C2335" s="10" t="s">
        <v>2308</v>
      </c>
    </row>
    <row r="2336" spans="1:3" s="10" customFormat="1" x14ac:dyDescent="0.25">
      <c r="A2336" s="10" t="str">
        <f>"0611863594050"</f>
        <v>0611863594050</v>
      </c>
      <c r="B2336" s="10" t="str">
        <f>"CR3905"</f>
        <v>CR3905</v>
      </c>
      <c r="C2336" s="10" t="s">
        <v>2309</v>
      </c>
    </row>
    <row r="2337" spans="1:3" s="10" customFormat="1" x14ac:dyDescent="0.25">
      <c r="A2337" s="10" t="str">
        <f>"0611906589050"</f>
        <v>0611906589050</v>
      </c>
      <c r="B2337" s="10" t="str">
        <f>"CR5505"</f>
        <v>CR5505</v>
      </c>
      <c r="C2337" s="10" t="s">
        <v>2310</v>
      </c>
    </row>
    <row r="2338" spans="1:3" s="10" customFormat="1" x14ac:dyDescent="0.25">
      <c r="A2338" s="10" t="str">
        <f>"0611884385050"</f>
        <v>0611884385050</v>
      </c>
      <c r="B2338" s="10" t="str">
        <f>"CR5383"</f>
        <v>CR5383</v>
      </c>
      <c r="C2338" s="10" t="s">
        <v>2311</v>
      </c>
    </row>
    <row r="2339" spans="1:3" s="10" customFormat="1" x14ac:dyDescent="0.25">
      <c r="A2339" s="10" t="str">
        <f>"0611884386050"</f>
        <v>0611884386050</v>
      </c>
      <c r="B2339" s="10" t="str">
        <f>"CR5394"</f>
        <v>CR5394</v>
      </c>
      <c r="C2339" s="10" t="s">
        <v>2312</v>
      </c>
    </row>
    <row r="2340" spans="1:3" s="10" customFormat="1" x14ac:dyDescent="0.25">
      <c r="A2340" s="10" t="str">
        <f>"0611884387050"</f>
        <v>0611884387050</v>
      </c>
      <c r="B2340" s="10" t="str">
        <f>"CR5416"</f>
        <v>CR5416</v>
      </c>
      <c r="C2340" s="10" t="s">
        <v>2313</v>
      </c>
    </row>
    <row r="2341" spans="1:3" s="10" customFormat="1" x14ac:dyDescent="0.25">
      <c r="A2341" s="10" t="str">
        <f>"0611863595050"</f>
        <v>0611863595050</v>
      </c>
      <c r="B2341" s="10" t="str">
        <f>"CR2489"</f>
        <v>CR2489</v>
      </c>
      <c r="C2341" s="10" t="s">
        <v>2314</v>
      </c>
    </row>
    <row r="2342" spans="1:3" s="10" customFormat="1" x14ac:dyDescent="0.25">
      <c r="A2342" s="10" t="str">
        <f>"0611863596050"</f>
        <v>0611863596050</v>
      </c>
      <c r="B2342" s="10" t="str">
        <f>"CR5073"</f>
        <v>CR5073</v>
      </c>
      <c r="C2342" s="10" t="s">
        <v>2315</v>
      </c>
    </row>
    <row r="2343" spans="1:3" s="10" customFormat="1" x14ac:dyDescent="0.25">
      <c r="A2343" s="10" t="str">
        <f>"0611863597050"</f>
        <v>0611863597050</v>
      </c>
      <c r="B2343" s="10" t="str">
        <f>"CR5008"</f>
        <v>CR5008</v>
      </c>
      <c r="C2343" s="10" t="s">
        <v>2316</v>
      </c>
    </row>
    <row r="2344" spans="1:3" s="10" customFormat="1" x14ac:dyDescent="0.25">
      <c r="A2344" s="10" t="str">
        <f>"0611863598050"</f>
        <v>0611863598050</v>
      </c>
      <c r="B2344" s="10" t="str">
        <f>"CR2491"</f>
        <v>CR2491</v>
      </c>
      <c r="C2344" s="10" t="s">
        <v>2317</v>
      </c>
    </row>
    <row r="2345" spans="1:3" s="10" customFormat="1" x14ac:dyDescent="0.25">
      <c r="A2345" s="10" t="str">
        <f>"0611863599050"</f>
        <v>0611863599050</v>
      </c>
      <c r="B2345" s="10" t="str">
        <f>"CR2492"</f>
        <v>CR2492</v>
      </c>
      <c r="C2345" s="10" t="s">
        <v>2318</v>
      </c>
    </row>
    <row r="2346" spans="1:3" s="10" customFormat="1" x14ac:dyDescent="0.25">
      <c r="A2346" s="10" t="str">
        <f>"0611863600050"</f>
        <v>0611863600050</v>
      </c>
      <c r="B2346" s="10" t="str">
        <f>"CR2493"</f>
        <v>CR2493</v>
      </c>
      <c r="C2346" s="10" t="s">
        <v>2319</v>
      </c>
    </row>
    <row r="2347" spans="1:3" s="10" customFormat="1" x14ac:dyDescent="0.25">
      <c r="A2347" s="10" t="str">
        <f>"0611863601050"</f>
        <v>0611863601050</v>
      </c>
      <c r="B2347" s="10" t="str">
        <f>"CR2494"</f>
        <v>CR2494</v>
      </c>
      <c r="C2347" s="10" t="s">
        <v>2320</v>
      </c>
    </row>
    <row r="2348" spans="1:3" s="10" customFormat="1" x14ac:dyDescent="0.25">
      <c r="A2348" s="10" t="str">
        <f>"0611906590050"</f>
        <v>0611906590050</v>
      </c>
      <c r="B2348" s="10" t="str">
        <f>"CR5508"</f>
        <v>CR5508</v>
      </c>
      <c r="C2348" s="10" t="s">
        <v>2321</v>
      </c>
    </row>
    <row r="2349" spans="1:3" s="10" customFormat="1" x14ac:dyDescent="0.25">
      <c r="A2349" s="10" t="str">
        <f>"0611863602050"</f>
        <v>0611863602050</v>
      </c>
      <c r="B2349" s="10" t="str">
        <f>"CR2496"</f>
        <v>CR2496</v>
      </c>
      <c r="C2349" s="10" t="s">
        <v>2322</v>
      </c>
    </row>
    <row r="2350" spans="1:3" s="10" customFormat="1" x14ac:dyDescent="0.25">
      <c r="A2350" s="10" t="str">
        <f>"0611863603050"</f>
        <v>0611863603050</v>
      </c>
      <c r="B2350" s="10" t="str">
        <f>"CR2988"</f>
        <v>CR2988</v>
      </c>
      <c r="C2350" s="10" t="s">
        <v>2323</v>
      </c>
    </row>
    <row r="2351" spans="1:3" s="10" customFormat="1" x14ac:dyDescent="0.25">
      <c r="A2351" s="10" t="str">
        <f>"0611863604050"</f>
        <v>0611863604050</v>
      </c>
      <c r="B2351" s="10" t="str">
        <f>"CR2497"</f>
        <v>CR2497</v>
      </c>
      <c r="C2351" s="10" t="s">
        <v>2324</v>
      </c>
    </row>
    <row r="2352" spans="1:3" s="10" customFormat="1" x14ac:dyDescent="0.25">
      <c r="A2352" s="10" t="str">
        <f>"0611863605050"</f>
        <v>0611863605050</v>
      </c>
      <c r="B2352" s="10" t="str">
        <f>"CR2498"</f>
        <v>CR2498</v>
      </c>
      <c r="C2352" s="10" t="s">
        <v>2325</v>
      </c>
    </row>
    <row r="2353" spans="1:3" s="10" customFormat="1" x14ac:dyDescent="0.25">
      <c r="A2353" s="10" t="str">
        <f>"0611863606050"</f>
        <v>0611863606050</v>
      </c>
      <c r="B2353" s="10" t="str">
        <f>"CR3699"</f>
        <v>CR3699</v>
      </c>
      <c r="C2353" s="10" t="s">
        <v>2326</v>
      </c>
    </row>
    <row r="2354" spans="1:3" s="10" customFormat="1" x14ac:dyDescent="0.25">
      <c r="A2354" s="10" t="str">
        <f>"0611863607050"</f>
        <v>0611863607050</v>
      </c>
      <c r="B2354" s="10" t="str">
        <f>"CR3904"</f>
        <v>CR3904</v>
      </c>
      <c r="C2354" s="10" t="s">
        <v>2327</v>
      </c>
    </row>
    <row r="2355" spans="1:3" s="10" customFormat="1" x14ac:dyDescent="0.25">
      <c r="A2355" s="10" t="str">
        <f>"0611863656050"</f>
        <v>0611863656050</v>
      </c>
      <c r="B2355" s="10" t="str">
        <f>"CR5230"</f>
        <v>CR5230</v>
      </c>
      <c r="C2355" s="10" t="s">
        <v>2328</v>
      </c>
    </row>
    <row r="2356" spans="1:3" s="10" customFormat="1" x14ac:dyDescent="0.25">
      <c r="A2356" s="10" t="str">
        <f>"0611863659050"</f>
        <v>0611863659050</v>
      </c>
      <c r="B2356" s="10" t="str">
        <f>"CR5233"</f>
        <v>CR5233</v>
      </c>
      <c r="C2356" s="10" t="s">
        <v>2329</v>
      </c>
    </row>
    <row r="2357" spans="1:3" s="10" customFormat="1" x14ac:dyDescent="0.25">
      <c r="A2357" s="10" t="str">
        <f>"0611863660050"</f>
        <v>0611863660050</v>
      </c>
      <c r="B2357" s="10" t="str">
        <f>"CR5234"</f>
        <v>CR5234</v>
      </c>
      <c r="C2357" s="10" t="s">
        <v>2330</v>
      </c>
    </row>
    <row r="2358" spans="1:3" s="10" customFormat="1" x14ac:dyDescent="0.25">
      <c r="A2358" s="10" t="str">
        <f>"0611863661050"</f>
        <v>0611863661050</v>
      </c>
      <c r="B2358" s="10" t="str">
        <f>"CR5235"</f>
        <v>CR5235</v>
      </c>
      <c r="C2358" s="10" t="s">
        <v>2331</v>
      </c>
    </row>
    <row r="2359" spans="1:3" s="10" customFormat="1" x14ac:dyDescent="0.25">
      <c r="A2359" s="10" t="str">
        <f>"0611863662050"</f>
        <v>0611863662050</v>
      </c>
      <c r="B2359" s="10" t="str">
        <f>"CR3965"</f>
        <v>CR3965</v>
      </c>
      <c r="C2359" s="10" t="s">
        <v>2332</v>
      </c>
    </row>
    <row r="2360" spans="1:3" s="10" customFormat="1" x14ac:dyDescent="0.25">
      <c r="A2360" s="10" t="str">
        <f>"0611863663050"</f>
        <v>0611863663050</v>
      </c>
      <c r="B2360" s="10" t="str">
        <f>"CR2502"</f>
        <v>CR2502</v>
      </c>
      <c r="C2360" s="10" t="s">
        <v>2333</v>
      </c>
    </row>
    <row r="2361" spans="1:3" s="10" customFormat="1" x14ac:dyDescent="0.25">
      <c r="A2361" s="10" t="str">
        <f>"0611863664050"</f>
        <v>0611863664050</v>
      </c>
      <c r="B2361" s="10" t="str">
        <f>"CR2747"</f>
        <v>CR2747</v>
      </c>
      <c r="C2361" s="10" t="s">
        <v>2334</v>
      </c>
    </row>
    <row r="2362" spans="1:3" s="10" customFormat="1" x14ac:dyDescent="0.25">
      <c r="A2362" s="10" t="str">
        <f>"0611863665050"</f>
        <v>0611863665050</v>
      </c>
      <c r="B2362" s="10" t="str">
        <f>"CR5009"</f>
        <v>CR5009</v>
      </c>
      <c r="C2362" s="10" t="s">
        <v>2335</v>
      </c>
    </row>
    <row r="2363" spans="1:3" s="10" customFormat="1" x14ac:dyDescent="0.25">
      <c r="A2363" s="10" t="str">
        <f>"0611863667050"</f>
        <v>0611863667050</v>
      </c>
      <c r="B2363" s="10" t="str">
        <f>"CR3735"</f>
        <v>CR3735</v>
      </c>
      <c r="C2363" s="10" t="s">
        <v>2336</v>
      </c>
    </row>
    <row r="2364" spans="1:3" s="10" customFormat="1" x14ac:dyDescent="0.25">
      <c r="A2364" s="10" t="str">
        <f>"0611863668050"</f>
        <v>0611863668050</v>
      </c>
      <c r="B2364" s="10" t="str">
        <f>"CR3966"</f>
        <v>CR3966</v>
      </c>
      <c r="C2364" s="10" t="s">
        <v>2337</v>
      </c>
    </row>
    <row r="2365" spans="1:3" s="10" customFormat="1" x14ac:dyDescent="0.25">
      <c r="A2365" s="10" t="str">
        <f>"0611863669050"</f>
        <v>0611863669050</v>
      </c>
      <c r="B2365" s="10" t="str">
        <f>"CR4114"</f>
        <v>CR4114</v>
      </c>
      <c r="C2365" s="10" t="s">
        <v>2338</v>
      </c>
    </row>
    <row r="2366" spans="1:3" s="10" customFormat="1" x14ac:dyDescent="0.25">
      <c r="A2366" s="10" t="str">
        <f>"0611863670050"</f>
        <v>0611863670050</v>
      </c>
      <c r="B2366" s="10" t="str">
        <f>"CR2506"</f>
        <v>CR2506</v>
      </c>
      <c r="C2366" s="10" t="s">
        <v>2339</v>
      </c>
    </row>
    <row r="2367" spans="1:3" s="10" customFormat="1" x14ac:dyDescent="0.25">
      <c r="A2367" s="10" t="str">
        <f>"0611863671050"</f>
        <v>0611863671050</v>
      </c>
      <c r="B2367" s="10" t="str">
        <f>"CR3146"</f>
        <v>CR3146</v>
      </c>
      <c r="C2367" s="10" t="s">
        <v>2340</v>
      </c>
    </row>
    <row r="2368" spans="1:3" s="10" customFormat="1" x14ac:dyDescent="0.25">
      <c r="A2368" s="10" t="str">
        <f>"0611863672050"</f>
        <v>0611863672050</v>
      </c>
      <c r="B2368" s="10" t="str">
        <f>"CR3967"</f>
        <v>CR3967</v>
      </c>
      <c r="C2368" s="10" t="s">
        <v>2341</v>
      </c>
    </row>
    <row r="2369" spans="1:3" s="10" customFormat="1" x14ac:dyDescent="0.25">
      <c r="A2369" s="10" t="str">
        <f>"0611863673050"</f>
        <v>0611863673050</v>
      </c>
      <c r="B2369" s="10" t="str">
        <f>"CR3907"</f>
        <v>CR3907</v>
      </c>
      <c r="C2369" s="10" t="s">
        <v>2342</v>
      </c>
    </row>
    <row r="2370" spans="1:3" s="10" customFormat="1" x14ac:dyDescent="0.25">
      <c r="A2370" s="10" t="str">
        <f>"0611863674050"</f>
        <v>0611863674050</v>
      </c>
      <c r="B2370" s="10" t="str">
        <f>"CR2914"</f>
        <v>CR2914</v>
      </c>
      <c r="C2370" s="10" t="s">
        <v>2343</v>
      </c>
    </row>
    <row r="2371" spans="1:3" s="10" customFormat="1" x14ac:dyDescent="0.25">
      <c r="A2371" s="10" t="str">
        <f>"0611863676050"</f>
        <v>0611863676050</v>
      </c>
      <c r="B2371" s="10" t="str">
        <f>"CR3908"</f>
        <v>CR3908</v>
      </c>
      <c r="C2371" s="10" t="s">
        <v>2344</v>
      </c>
    </row>
    <row r="2372" spans="1:3" s="10" customFormat="1" x14ac:dyDescent="0.25">
      <c r="A2372" s="10" t="str">
        <f>"0611863677050"</f>
        <v>0611863677050</v>
      </c>
      <c r="B2372" s="10" t="str">
        <f>"CR2915"</f>
        <v>CR2915</v>
      </c>
      <c r="C2372" s="10" t="s">
        <v>2345</v>
      </c>
    </row>
    <row r="2373" spans="1:3" s="10" customFormat="1" x14ac:dyDescent="0.25">
      <c r="A2373" s="10" t="str">
        <f>"0611863678050"</f>
        <v>0611863678050</v>
      </c>
      <c r="B2373" s="10" t="str">
        <f>"CR4905"</f>
        <v>CR4905</v>
      </c>
      <c r="C2373" s="10" t="s">
        <v>2346</v>
      </c>
    </row>
    <row r="2374" spans="1:3" s="10" customFormat="1" x14ac:dyDescent="0.25">
      <c r="A2374" s="10" t="str">
        <f>"0611863679050"</f>
        <v>0611863679050</v>
      </c>
      <c r="B2374" s="10" t="str">
        <f>"CR2503"</f>
        <v>CR2503</v>
      </c>
      <c r="C2374" s="10" t="s">
        <v>2347</v>
      </c>
    </row>
    <row r="2375" spans="1:3" s="10" customFormat="1" x14ac:dyDescent="0.25">
      <c r="A2375" s="10" t="str">
        <f>"0611863680050"</f>
        <v>0611863680050</v>
      </c>
      <c r="B2375" s="10" t="str">
        <f>"CR3909"</f>
        <v>CR3909</v>
      </c>
      <c r="C2375" s="10" t="s">
        <v>2348</v>
      </c>
    </row>
    <row r="2376" spans="1:3" s="10" customFormat="1" x14ac:dyDescent="0.25">
      <c r="A2376" s="10" t="str">
        <f>"0611863681050"</f>
        <v>0611863681050</v>
      </c>
      <c r="B2376" s="10" t="str">
        <f>"CR2504"</f>
        <v>CR2504</v>
      </c>
      <c r="C2376" s="10" t="s">
        <v>2349</v>
      </c>
    </row>
    <row r="2377" spans="1:3" s="10" customFormat="1" x14ac:dyDescent="0.25">
      <c r="A2377" s="10" t="str">
        <f>"0611863682050"</f>
        <v>0611863682050</v>
      </c>
      <c r="B2377" s="10" t="str">
        <f>"CR2749"</f>
        <v>CR2749</v>
      </c>
      <c r="C2377" s="10" t="s">
        <v>2350</v>
      </c>
    </row>
    <row r="2378" spans="1:3" s="10" customFormat="1" x14ac:dyDescent="0.25">
      <c r="A2378" s="10" t="str">
        <f>"0611863683050"</f>
        <v>0611863683050</v>
      </c>
      <c r="B2378" s="10" t="str">
        <f>"CR4858"</f>
        <v>CR4858</v>
      </c>
      <c r="C2378" s="10" t="s">
        <v>2351</v>
      </c>
    </row>
    <row r="2379" spans="1:3" s="10" customFormat="1" x14ac:dyDescent="0.25">
      <c r="A2379" s="10" t="str">
        <f>"0611863684050"</f>
        <v>0611863684050</v>
      </c>
      <c r="B2379" s="10" t="str">
        <f>"CR4115"</f>
        <v>CR4115</v>
      </c>
      <c r="C2379" s="10" t="s">
        <v>2352</v>
      </c>
    </row>
    <row r="2380" spans="1:3" s="10" customFormat="1" x14ac:dyDescent="0.25">
      <c r="A2380" s="10" t="str">
        <f>"0611863686050"</f>
        <v>0611863686050</v>
      </c>
      <c r="B2380" s="10" t="str">
        <f>"CR2989"</f>
        <v>CR2989</v>
      </c>
      <c r="C2380" s="10" t="s">
        <v>2353</v>
      </c>
    </row>
    <row r="2381" spans="1:3" s="10" customFormat="1" x14ac:dyDescent="0.25">
      <c r="A2381" s="10" t="str">
        <f>"0611863687050"</f>
        <v>0611863687050</v>
      </c>
      <c r="B2381" s="10" t="str">
        <f>"CR3149"</f>
        <v>CR3149</v>
      </c>
      <c r="C2381" s="10" t="s">
        <v>2354</v>
      </c>
    </row>
    <row r="2382" spans="1:3" s="10" customFormat="1" x14ac:dyDescent="0.25">
      <c r="A2382" s="10" t="str">
        <f>"0611863688050"</f>
        <v>0611863688050</v>
      </c>
      <c r="B2382" s="10" t="str">
        <f>"CR3910"</f>
        <v>CR3910</v>
      </c>
      <c r="C2382" s="10" t="s">
        <v>2355</v>
      </c>
    </row>
    <row r="2383" spans="1:3" s="10" customFormat="1" x14ac:dyDescent="0.25">
      <c r="A2383" s="10" t="str">
        <f>"0611863689050"</f>
        <v>0611863689050</v>
      </c>
      <c r="B2383" s="10" t="str">
        <f>"CR5010"</f>
        <v>CR5010</v>
      </c>
      <c r="C2383" s="10" t="s">
        <v>2356</v>
      </c>
    </row>
    <row r="2384" spans="1:3" s="10" customFormat="1" x14ac:dyDescent="0.25">
      <c r="A2384" s="10" t="str">
        <f>"0611863690050"</f>
        <v>0611863690050</v>
      </c>
      <c r="B2384" s="10" t="str">
        <f>"CR2917"</f>
        <v>CR2917</v>
      </c>
      <c r="C2384" s="10" t="s">
        <v>2357</v>
      </c>
    </row>
    <row r="2385" spans="1:3" s="10" customFormat="1" x14ac:dyDescent="0.25">
      <c r="A2385" s="10" t="str">
        <f>"0611863691050"</f>
        <v>0611863691050</v>
      </c>
      <c r="B2385" s="10" t="str">
        <f>"CR4861"</f>
        <v>CR4861</v>
      </c>
      <c r="C2385" s="10" t="s">
        <v>2358</v>
      </c>
    </row>
    <row r="2386" spans="1:3" s="10" customFormat="1" x14ac:dyDescent="0.25">
      <c r="A2386" s="10" t="str">
        <f>"0611863692050"</f>
        <v>0611863692050</v>
      </c>
      <c r="B2386" s="10" t="str">
        <f>"CR4860"</f>
        <v>CR4860</v>
      </c>
      <c r="C2386" s="10" t="s">
        <v>2359</v>
      </c>
    </row>
    <row r="2387" spans="1:3" s="10" customFormat="1" x14ac:dyDescent="0.25">
      <c r="A2387" s="10" t="str">
        <f>"0611863693050"</f>
        <v>0611863693050</v>
      </c>
      <c r="B2387" s="10" t="str">
        <f>"CR4864"</f>
        <v>CR4864</v>
      </c>
      <c r="C2387" s="10" t="s">
        <v>2360</v>
      </c>
    </row>
    <row r="2388" spans="1:3" s="10" customFormat="1" x14ac:dyDescent="0.25">
      <c r="A2388" s="10" t="str">
        <f>"0611863694050"</f>
        <v>0611863694050</v>
      </c>
      <c r="B2388" s="10" t="str">
        <f>"CR4859"</f>
        <v>CR4859</v>
      </c>
      <c r="C2388" s="10" t="s">
        <v>2361</v>
      </c>
    </row>
    <row r="2389" spans="1:3" s="10" customFormat="1" x14ac:dyDescent="0.25">
      <c r="A2389" s="10" t="str">
        <f>"0611863695050"</f>
        <v>0611863695050</v>
      </c>
      <c r="B2389" s="10" t="str">
        <f>"CR4862"</f>
        <v>CR4862</v>
      </c>
      <c r="C2389" s="10" t="s">
        <v>2362</v>
      </c>
    </row>
    <row r="2390" spans="1:3" s="10" customFormat="1" x14ac:dyDescent="0.25">
      <c r="A2390" s="10" t="str">
        <f>"0611863696050"</f>
        <v>0611863696050</v>
      </c>
      <c r="B2390" s="10" t="str">
        <f>"CR3911"</f>
        <v>CR3911</v>
      </c>
      <c r="C2390" s="10" t="s">
        <v>2363</v>
      </c>
    </row>
    <row r="2391" spans="1:3" s="10" customFormat="1" x14ac:dyDescent="0.25">
      <c r="A2391" s="10" t="str">
        <f>"0611863697050"</f>
        <v>0611863697050</v>
      </c>
      <c r="B2391" s="10" t="str">
        <f>"CR4116"</f>
        <v>CR4116</v>
      </c>
      <c r="C2391" s="10" t="s">
        <v>2364</v>
      </c>
    </row>
    <row r="2392" spans="1:3" s="10" customFormat="1" x14ac:dyDescent="0.25">
      <c r="A2392" s="10" t="str">
        <f>"0611863698050"</f>
        <v>0611863698050</v>
      </c>
      <c r="B2392" s="10" t="str">
        <f>"CR4117"</f>
        <v>CR4117</v>
      </c>
      <c r="C2392" s="10" t="s">
        <v>2365</v>
      </c>
    </row>
    <row r="2393" spans="1:3" s="10" customFormat="1" x14ac:dyDescent="0.25">
      <c r="A2393" s="10" t="str">
        <f>"0611863699050"</f>
        <v>0611863699050</v>
      </c>
      <c r="B2393" s="10" t="str">
        <f>"CR2751"</f>
        <v>CR2751</v>
      </c>
      <c r="C2393" s="10" t="s">
        <v>2366</v>
      </c>
    </row>
    <row r="2394" spans="1:3" s="10" customFormat="1" x14ac:dyDescent="0.25">
      <c r="A2394" s="10" t="str">
        <f>"0611863700050"</f>
        <v>0611863700050</v>
      </c>
      <c r="B2394" s="10" t="str">
        <f>"CR2928"</f>
        <v>CR2928</v>
      </c>
      <c r="C2394" s="10" t="s">
        <v>2367</v>
      </c>
    </row>
    <row r="2395" spans="1:3" s="10" customFormat="1" x14ac:dyDescent="0.25">
      <c r="A2395" s="10" t="str">
        <f>"0611863701050"</f>
        <v>0611863701050</v>
      </c>
      <c r="B2395" s="10" t="str">
        <f>"CR2505"</f>
        <v>CR2505</v>
      </c>
      <c r="C2395" s="10" t="s">
        <v>2368</v>
      </c>
    </row>
    <row r="2396" spans="1:3" s="10" customFormat="1" x14ac:dyDescent="0.25">
      <c r="A2396" s="10" t="str">
        <f>"0611863703050"</f>
        <v>0611863703050</v>
      </c>
      <c r="B2396" s="10" t="str">
        <f>"CR2508"</f>
        <v>CR2508</v>
      </c>
      <c r="C2396" s="10" t="s">
        <v>2369</v>
      </c>
    </row>
    <row r="2397" spans="1:3" s="10" customFormat="1" x14ac:dyDescent="0.25">
      <c r="A2397" s="10" t="str">
        <f>"0611863704050"</f>
        <v>0611863704050</v>
      </c>
      <c r="B2397" s="10" t="str">
        <f>"CR2509"</f>
        <v>CR2509</v>
      </c>
      <c r="C2397" s="10" t="s">
        <v>2370</v>
      </c>
    </row>
    <row r="2398" spans="1:3" s="10" customFormat="1" x14ac:dyDescent="0.25">
      <c r="A2398" s="10" t="str">
        <f>"0611863705050"</f>
        <v>0611863705050</v>
      </c>
      <c r="B2398" s="10" t="str">
        <f>"CR2510"</f>
        <v>CR2510</v>
      </c>
      <c r="C2398" s="10" t="s">
        <v>2371</v>
      </c>
    </row>
    <row r="2399" spans="1:3" s="10" customFormat="1" x14ac:dyDescent="0.25">
      <c r="A2399" s="10" t="str">
        <f>"0611863706050"</f>
        <v>0611863706050</v>
      </c>
      <c r="B2399" s="10" t="str">
        <f>"CR3736"</f>
        <v>CR3736</v>
      </c>
      <c r="C2399" s="10" t="s">
        <v>2372</v>
      </c>
    </row>
    <row r="2400" spans="1:3" s="10" customFormat="1" x14ac:dyDescent="0.25">
      <c r="A2400" s="10" t="str">
        <f>"0611863707050"</f>
        <v>0611863707050</v>
      </c>
      <c r="B2400" s="10" t="str">
        <f>"CR3912"</f>
        <v>CR3912</v>
      </c>
      <c r="C2400" s="10" t="s">
        <v>2373</v>
      </c>
    </row>
    <row r="2401" spans="1:3" s="10" customFormat="1" x14ac:dyDescent="0.25">
      <c r="A2401" s="10" t="str">
        <f>"0611863708050"</f>
        <v>0611863708050</v>
      </c>
      <c r="B2401" s="10" t="str">
        <f>"CR2511"</f>
        <v>CR2511</v>
      </c>
      <c r="C2401" s="10" t="s">
        <v>2374</v>
      </c>
    </row>
    <row r="2402" spans="1:3" s="10" customFormat="1" x14ac:dyDescent="0.25">
      <c r="A2402" s="10" t="str">
        <f>"0611863709050"</f>
        <v>0611863709050</v>
      </c>
      <c r="B2402" s="10" t="str">
        <f>"CR2753"</f>
        <v>CR2753</v>
      </c>
      <c r="C2402" s="10" t="s">
        <v>2375</v>
      </c>
    </row>
    <row r="2403" spans="1:3" s="10" customFormat="1" x14ac:dyDescent="0.25">
      <c r="A2403" s="10" t="str">
        <f>"0611863710050"</f>
        <v>0611863710050</v>
      </c>
      <c r="B2403" s="10" t="str">
        <f>"CR2929"</f>
        <v>CR2929</v>
      </c>
      <c r="C2403" s="10" t="s">
        <v>2376</v>
      </c>
    </row>
    <row r="2404" spans="1:3" s="10" customFormat="1" x14ac:dyDescent="0.25">
      <c r="A2404" s="10" t="str">
        <f>"0611863711050"</f>
        <v>0611863711050</v>
      </c>
      <c r="B2404" s="10" t="str">
        <f>"CR2512"</f>
        <v>CR2512</v>
      </c>
      <c r="C2404" s="10" t="s">
        <v>2377</v>
      </c>
    </row>
    <row r="2405" spans="1:3" s="10" customFormat="1" x14ac:dyDescent="0.25">
      <c r="A2405" s="10" t="str">
        <f>"0611863712050"</f>
        <v>0611863712050</v>
      </c>
      <c r="B2405" s="10" t="str">
        <f>"CR2513"</f>
        <v>CR2513</v>
      </c>
      <c r="C2405" s="10" t="s">
        <v>2378</v>
      </c>
    </row>
    <row r="2406" spans="1:3" s="10" customFormat="1" x14ac:dyDescent="0.25">
      <c r="A2406" s="10" t="str">
        <f>"0611863713050"</f>
        <v>0611863713050</v>
      </c>
      <c r="B2406" s="10" t="str">
        <f>"CR2990"</f>
        <v>CR2990</v>
      </c>
      <c r="C2406" s="10" t="s">
        <v>2379</v>
      </c>
    </row>
    <row r="2407" spans="1:3" s="10" customFormat="1" x14ac:dyDescent="0.25">
      <c r="A2407" s="10" t="str">
        <f>"0611863714050"</f>
        <v>0611863714050</v>
      </c>
      <c r="B2407" s="10" t="str">
        <f>"CR3152"</f>
        <v>CR3152</v>
      </c>
      <c r="C2407" s="10" t="s">
        <v>2380</v>
      </c>
    </row>
    <row r="2408" spans="1:3" s="10" customFormat="1" x14ac:dyDescent="0.25">
      <c r="A2408" s="10" t="str">
        <f>"0611863715050"</f>
        <v>0611863715050</v>
      </c>
      <c r="B2408" s="10" t="str">
        <f>"CR2991"</f>
        <v>CR2991</v>
      </c>
      <c r="C2408" s="10" t="s">
        <v>2381</v>
      </c>
    </row>
    <row r="2409" spans="1:3" s="10" customFormat="1" x14ac:dyDescent="0.25">
      <c r="A2409" s="10" t="str">
        <f>"0611863716050"</f>
        <v>0611863716050</v>
      </c>
      <c r="B2409" s="10" t="str">
        <f>"CR2992"</f>
        <v>CR2992</v>
      </c>
      <c r="C2409" s="10" t="s">
        <v>2382</v>
      </c>
    </row>
    <row r="2410" spans="1:3" s="10" customFormat="1" x14ac:dyDescent="0.25">
      <c r="A2410" s="10" t="str">
        <f>"0611863717050"</f>
        <v>0611863717050</v>
      </c>
      <c r="B2410" s="10" t="str">
        <f>"CR5236"</f>
        <v>CR5236</v>
      </c>
      <c r="C2410" s="10" t="s">
        <v>2383</v>
      </c>
    </row>
    <row r="2411" spans="1:3" s="10" customFormat="1" x14ac:dyDescent="0.25">
      <c r="A2411" s="10" t="str">
        <f>"0611884390050"</f>
        <v>0611884390050</v>
      </c>
      <c r="B2411" s="10" t="str">
        <f>"CR5395"</f>
        <v>CR5395</v>
      </c>
      <c r="C2411" s="10" t="s">
        <v>2384</v>
      </c>
    </row>
    <row r="2412" spans="1:3" s="10" customFormat="1" x14ac:dyDescent="0.25">
      <c r="A2412" s="10" t="str">
        <f>"0611906591050"</f>
        <v>0611906591050</v>
      </c>
      <c r="B2412" s="10" t="str">
        <f>"CR5511"</f>
        <v>CR5511</v>
      </c>
      <c r="C2412" s="10" t="s">
        <v>2385</v>
      </c>
    </row>
    <row r="2413" spans="1:3" s="10" customFormat="1" x14ac:dyDescent="0.25">
      <c r="A2413" s="10" t="str">
        <f>"0611863718050"</f>
        <v>0611863718050</v>
      </c>
      <c r="B2413" s="10" t="str">
        <f>"CR3737"</f>
        <v>CR3737</v>
      </c>
      <c r="C2413" s="10" t="s">
        <v>2386</v>
      </c>
    </row>
    <row r="2414" spans="1:3" s="10" customFormat="1" x14ac:dyDescent="0.25">
      <c r="A2414" s="10" t="str">
        <f>"0611884391050"</f>
        <v>0611884391050</v>
      </c>
      <c r="B2414" s="10" t="str">
        <f>"CR5396"</f>
        <v>CR5396</v>
      </c>
      <c r="C2414" s="10" t="s">
        <v>2387</v>
      </c>
    </row>
    <row r="2415" spans="1:3" s="10" customFormat="1" x14ac:dyDescent="0.25">
      <c r="A2415" s="10" t="str">
        <f>"0611863719050"</f>
        <v>0611863719050</v>
      </c>
      <c r="B2415" s="10" t="str">
        <f>"CR2515"</f>
        <v>CR2515</v>
      </c>
      <c r="C2415" s="10" t="s">
        <v>2388</v>
      </c>
    </row>
    <row r="2416" spans="1:3" s="10" customFormat="1" x14ac:dyDescent="0.25">
      <c r="A2416" s="10" t="str">
        <f>"0611863720050"</f>
        <v>0611863720050</v>
      </c>
      <c r="B2416" s="10" t="str">
        <f>"CR4122"</f>
        <v>CR4122</v>
      </c>
      <c r="C2416" s="10" t="s">
        <v>2389</v>
      </c>
    </row>
    <row r="2417" spans="1:3" s="10" customFormat="1" x14ac:dyDescent="0.25">
      <c r="A2417" s="10" t="str">
        <f>"0611863721050"</f>
        <v>0611863721050</v>
      </c>
      <c r="B2417" s="10" t="str">
        <f>"CR2516"</f>
        <v>CR2516</v>
      </c>
      <c r="C2417" s="10" t="s">
        <v>2390</v>
      </c>
    </row>
    <row r="2418" spans="1:3" s="10" customFormat="1" x14ac:dyDescent="0.25">
      <c r="A2418" s="10" t="str">
        <f>"0611863722050"</f>
        <v>0611863722050</v>
      </c>
      <c r="B2418" s="10" t="str">
        <f>"CR2993"</f>
        <v>CR2993</v>
      </c>
      <c r="C2418" s="10" t="s">
        <v>2391</v>
      </c>
    </row>
    <row r="2419" spans="1:3" s="10" customFormat="1" x14ac:dyDescent="0.25">
      <c r="A2419" s="10" t="str">
        <f>"0611863723050"</f>
        <v>0611863723050</v>
      </c>
      <c r="B2419" s="10" t="str">
        <f>"CR2517"</f>
        <v>CR2517</v>
      </c>
      <c r="C2419" s="10" t="s">
        <v>2392</v>
      </c>
    </row>
    <row r="2420" spans="1:3" s="10" customFormat="1" x14ac:dyDescent="0.25">
      <c r="A2420" s="10" t="str">
        <f>"0611863724050"</f>
        <v>0611863724050</v>
      </c>
      <c r="B2420" s="10" t="str">
        <f>"CR2518"</f>
        <v>CR2518</v>
      </c>
      <c r="C2420" s="10" t="s">
        <v>2393</v>
      </c>
    </row>
    <row r="2421" spans="1:3" s="10" customFormat="1" x14ac:dyDescent="0.25">
      <c r="A2421" s="10" t="str">
        <f>"0611863726050"</f>
        <v>0611863726050</v>
      </c>
      <c r="B2421" s="10" t="str">
        <f>"CR3913"</f>
        <v>CR3913</v>
      </c>
      <c r="C2421" s="10" t="s">
        <v>2394</v>
      </c>
    </row>
    <row r="2422" spans="1:3" s="10" customFormat="1" x14ac:dyDescent="0.25">
      <c r="A2422" s="10" t="str">
        <f>"0611906592050"</f>
        <v>0611906592050</v>
      </c>
      <c r="B2422" s="10" t="str">
        <f>"CR5509"</f>
        <v>CR5509</v>
      </c>
      <c r="C2422" s="10" t="s">
        <v>2395</v>
      </c>
    </row>
    <row r="2423" spans="1:3" s="10" customFormat="1" x14ac:dyDescent="0.25">
      <c r="A2423" s="10" t="str">
        <f>"0611906593050"</f>
        <v>0611906593050</v>
      </c>
      <c r="B2423" s="10" t="str">
        <f>"CR5510"</f>
        <v>CR5510</v>
      </c>
      <c r="C2423" s="10" t="s">
        <v>2396</v>
      </c>
    </row>
    <row r="2424" spans="1:3" s="10" customFormat="1" x14ac:dyDescent="0.25">
      <c r="A2424" s="10" t="str">
        <f>"0611863727100"</f>
        <v>0611863727100</v>
      </c>
      <c r="B2424" s="10" t="str">
        <f>"CN5340"</f>
        <v>CN5340</v>
      </c>
      <c r="C2424" s="10" t="s">
        <v>2397</v>
      </c>
    </row>
    <row r="2425" spans="1:3" s="10" customFormat="1" x14ac:dyDescent="0.25">
      <c r="A2425" s="10" t="str">
        <f>"0611863728100"</f>
        <v>0611863728100</v>
      </c>
      <c r="B2425" s="10" t="str">
        <f>"CN2385"</f>
        <v>CN2385</v>
      </c>
      <c r="C2425" s="10" t="s">
        <v>2398</v>
      </c>
    </row>
    <row r="2426" spans="1:3" s="10" customFormat="1" x14ac:dyDescent="0.25">
      <c r="A2426" s="10" t="str">
        <f>"0611863729100"</f>
        <v>0611863729100</v>
      </c>
      <c r="B2426" s="10" t="str">
        <f>"CN5341"</f>
        <v>CN5341</v>
      </c>
      <c r="C2426" s="10" t="s">
        <v>2399</v>
      </c>
    </row>
    <row r="2427" spans="1:3" s="10" customFormat="1" x14ac:dyDescent="0.25">
      <c r="A2427" s="10" t="str">
        <f>"0611863730050"</f>
        <v>0611863730050</v>
      </c>
      <c r="B2427" s="10" t="str">
        <f>"CR4436"</f>
        <v>CR4436</v>
      </c>
      <c r="C2427" s="10" t="s">
        <v>2400</v>
      </c>
    </row>
    <row r="2428" spans="1:3" s="10" customFormat="1" x14ac:dyDescent="0.25">
      <c r="A2428" s="10" t="str">
        <f>"0611863733100"</f>
        <v>0611863733100</v>
      </c>
      <c r="B2428" s="10" t="str">
        <f>"CN5298"</f>
        <v>CN5298</v>
      </c>
      <c r="C2428" s="10" t="s">
        <v>2401</v>
      </c>
    </row>
    <row r="2429" spans="1:3" s="10" customFormat="1" x14ac:dyDescent="0.25">
      <c r="A2429" s="10" t="str">
        <f>"0611863732050"</f>
        <v>0611863732050</v>
      </c>
      <c r="B2429" s="10" t="str">
        <f>"CR4418"</f>
        <v>CR4418</v>
      </c>
      <c r="C2429" s="10" t="s">
        <v>2402</v>
      </c>
    </row>
    <row r="2430" spans="1:3" s="10" customFormat="1" x14ac:dyDescent="0.25">
      <c r="A2430" s="10" t="str">
        <f>"0611863735050"</f>
        <v>0611863735050</v>
      </c>
      <c r="B2430" s="10" t="str">
        <f>"CR4432"</f>
        <v>CR4432</v>
      </c>
      <c r="C2430" s="10" t="s">
        <v>2403</v>
      </c>
    </row>
    <row r="2431" spans="1:3" s="10" customFormat="1" x14ac:dyDescent="0.25">
      <c r="A2431" s="10" t="str">
        <f>"0611863736100"</f>
        <v>0611863736100</v>
      </c>
      <c r="B2431" s="10" t="str">
        <f>"CN5343"</f>
        <v>CN5343</v>
      </c>
      <c r="C2431" s="10" t="s">
        <v>2404</v>
      </c>
    </row>
    <row r="2432" spans="1:3" s="10" customFormat="1" x14ac:dyDescent="0.25">
      <c r="A2432" s="10" t="str">
        <f>"0611863737050"</f>
        <v>0611863737050</v>
      </c>
      <c r="B2432" s="10" t="str">
        <f>"CR4434"</f>
        <v>CR4434</v>
      </c>
      <c r="C2432" s="10" t="s">
        <v>2405</v>
      </c>
    </row>
    <row r="2433" spans="1:3" s="10" customFormat="1" x14ac:dyDescent="0.25">
      <c r="A2433" s="10" t="str">
        <f>"0611863738100"</f>
        <v>0611863738100</v>
      </c>
      <c r="B2433" s="10" t="str">
        <f>"CN2387"</f>
        <v>CN2387</v>
      </c>
      <c r="C2433" s="10" t="s">
        <v>2406</v>
      </c>
    </row>
    <row r="2434" spans="1:3" s="10" customFormat="1" x14ac:dyDescent="0.25">
      <c r="A2434" s="10" t="str">
        <f>"0611863739100"</f>
        <v>0611863739100</v>
      </c>
      <c r="B2434" s="10" t="str">
        <f>"CN5303"</f>
        <v>CN5303</v>
      </c>
      <c r="C2434" s="10" t="s">
        <v>2407</v>
      </c>
    </row>
    <row r="2435" spans="1:3" s="10" customFormat="1" x14ac:dyDescent="0.25">
      <c r="A2435" s="10" t="str">
        <f>"0611863740050"</f>
        <v>0611863740050</v>
      </c>
      <c r="B2435" s="10" t="str">
        <f>"CR3817"</f>
        <v>CR3817</v>
      </c>
      <c r="C2435" s="10" t="s">
        <v>2408</v>
      </c>
    </row>
    <row r="2436" spans="1:3" s="10" customFormat="1" x14ac:dyDescent="0.25">
      <c r="A2436" s="10" t="str">
        <f>"0611863741100"</f>
        <v>0611863741100</v>
      </c>
      <c r="B2436" s="10" t="str">
        <f>"CN2388"</f>
        <v>CN2388</v>
      </c>
      <c r="C2436" s="10" t="s">
        <v>2409</v>
      </c>
    </row>
    <row r="2437" spans="1:3" s="10" customFormat="1" x14ac:dyDescent="0.25">
      <c r="A2437" s="10" t="str">
        <f>"0611863742100"</f>
        <v>0611863742100</v>
      </c>
      <c r="B2437" s="10" t="str">
        <f>"CN5304"</f>
        <v>CN5304</v>
      </c>
      <c r="C2437" s="10" t="s">
        <v>2410</v>
      </c>
    </row>
    <row r="2438" spans="1:3" s="10" customFormat="1" x14ac:dyDescent="0.25">
      <c r="A2438" s="10" t="str">
        <f>"0611863743050"</f>
        <v>0611863743050</v>
      </c>
      <c r="B2438" s="10" t="str">
        <f>"CR4872"</f>
        <v>CR4872</v>
      </c>
      <c r="C2438" s="10" t="s">
        <v>2411</v>
      </c>
    </row>
    <row r="2439" spans="1:3" s="10" customFormat="1" x14ac:dyDescent="0.25">
      <c r="A2439" s="10" t="str">
        <f>"0611863744100"</f>
        <v>0611863744100</v>
      </c>
      <c r="B2439" s="10" t="str">
        <f>"CN5307"</f>
        <v>CN5307</v>
      </c>
      <c r="C2439" s="10" t="s">
        <v>2412</v>
      </c>
    </row>
    <row r="2440" spans="1:3" s="10" customFormat="1" x14ac:dyDescent="0.25">
      <c r="A2440" s="10" t="str">
        <f>"0611863745050"</f>
        <v>0611863745050</v>
      </c>
      <c r="B2440" s="10" t="str">
        <f>"CR3939"</f>
        <v>CR3939</v>
      </c>
      <c r="C2440" s="10" t="s">
        <v>2413</v>
      </c>
    </row>
    <row r="2441" spans="1:3" s="10" customFormat="1" x14ac:dyDescent="0.25">
      <c r="A2441" s="10" t="str">
        <f>"0611863746100"</f>
        <v>0611863746100</v>
      </c>
      <c r="B2441" s="10" t="str">
        <f>"CN5305"</f>
        <v>CN5305</v>
      </c>
      <c r="C2441" s="10" t="s">
        <v>2414</v>
      </c>
    </row>
    <row r="2442" spans="1:3" s="10" customFormat="1" x14ac:dyDescent="0.25">
      <c r="A2442" s="10" t="str">
        <f>"0611863748050"</f>
        <v>0611863748050</v>
      </c>
      <c r="B2442" s="10" t="str">
        <f>"CR3819"</f>
        <v>CR3819</v>
      </c>
      <c r="C2442" s="10" t="s">
        <v>2415</v>
      </c>
    </row>
    <row r="2443" spans="1:3" s="10" customFormat="1" x14ac:dyDescent="0.25">
      <c r="A2443" s="10" t="str">
        <f>"0611863749100"</f>
        <v>0611863749100</v>
      </c>
      <c r="B2443" s="10" t="str">
        <f>"CN5308"</f>
        <v>CN5308</v>
      </c>
      <c r="C2443" s="10" t="s">
        <v>2416</v>
      </c>
    </row>
    <row r="2444" spans="1:3" s="10" customFormat="1" x14ac:dyDescent="0.25">
      <c r="A2444" s="10" t="str">
        <f>"0611863751100"</f>
        <v>0611863751100</v>
      </c>
      <c r="B2444" s="10" t="str">
        <f>"CN5309"</f>
        <v>CN5309</v>
      </c>
      <c r="C2444" s="10" t="s">
        <v>2417</v>
      </c>
    </row>
    <row r="2445" spans="1:3" s="10" customFormat="1" x14ac:dyDescent="0.25">
      <c r="A2445" s="10" t="str">
        <f>"0611863753100"</f>
        <v>0611863753100</v>
      </c>
      <c r="B2445" s="10" t="str">
        <f>"CN5310"</f>
        <v>CN5310</v>
      </c>
      <c r="C2445" s="10" t="s">
        <v>2418</v>
      </c>
    </row>
    <row r="2446" spans="1:3" s="10" customFormat="1" x14ac:dyDescent="0.25">
      <c r="A2446" s="10" t="str">
        <f>"0611863754050"</f>
        <v>0611863754050</v>
      </c>
      <c r="B2446" s="10" t="str">
        <f>"CR4437"</f>
        <v>CR4437</v>
      </c>
      <c r="C2446" s="10" t="s">
        <v>2419</v>
      </c>
    </row>
    <row r="2447" spans="1:3" s="10" customFormat="1" x14ac:dyDescent="0.25">
      <c r="A2447" s="10" t="str">
        <f>"0611863755100"</f>
        <v>0611863755100</v>
      </c>
      <c r="B2447" s="10" t="str">
        <f>"CN5344"</f>
        <v>CN5344</v>
      </c>
      <c r="C2447" s="10" t="s">
        <v>2420</v>
      </c>
    </row>
    <row r="2448" spans="1:3" s="10" customFormat="1" x14ac:dyDescent="0.25">
      <c r="A2448" s="10" t="str">
        <f>"0611863757050"</f>
        <v>0611863757050</v>
      </c>
      <c r="B2448" s="10" t="str">
        <f>"CR4433"</f>
        <v>CR4433</v>
      </c>
      <c r="C2448" s="10" t="s">
        <v>2421</v>
      </c>
    </row>
    <row r="2449" spans="1:3" s="10" customFormat="1" x14ac:dyDescent="0.25">
      <c r="A2449" t="str">
        <f>"0611838399025"</f>
        <v>0611838399025</v>
      </c>
      <c r="B2449" t="str">
        <f>"MQ0321"</f>
        <v>MQ0321</v>
      </c>
      <c r="C2449" t="s">
        <v>2422</v>
      </c>
    </row>
    <row r="2450" spans="1:3" s="10" customFormat="1" x14ac:dyDescent="0.25">
      <c r="A2450" s="10" t="str">
        <f>"0611863761100"</f>
        <v>0611863761100</v>
      </c>
      <c r="B2450" s="10" t="str">
        <f>"CN5312"</f>
        <v>CN5312</v>
      </c>
      <c r="C2450" s="10" t="s">
        <v>2423</v>
      </c>
    </row>
    <row r="2451" spans="1:3" s="10" customFormat="1" x14ac:dyDescent="0.25">
      <c r="A2451" t="str">
        <f>"0611838401025"</f>
        <v>0611838401025</v>
      </c>
      <c r="B2451" t="str">
        <f>"MQ0322"</f>
        <v>MQ0322</v>
      </c>
      <c r="C2451" t="s">
        <v>2424</v>
      </c>
    </row>
    <row r="2452" spans="1:3" s="10" customFormat="1" x14ac:dyDescent="0.25">
      <c r="A2452" s="10" t="str">
        <f>"0611863762050"</f>
        <v>0611863762050</v>
      </c>
      <c r="B2452" s="10" t="str">
        <f>"CR3945"</f>
        <v>CR3945</v>
      </c>
      <c r="C2452" s="10" t="s">
        <v>2425</v>
      </c>
    </row>
    <row r="2453" spans="1:3" s="10" customFormat="1" x14ac:dyDescent="0.25">
      <c r="A2453" s="10" t="str">
        <f>"0611863763100"</f>
        <v>0611863763100</v>
      </c>
      <c r="B2453" s="10" t="str">
        <f>"CN5313"</f>
        <v>CN5313</v>
      </c>
      <c r="C2453" s="10" t="s">
        <v>2426</v>
      </c>
    </row>
    <row r="2454" spans="1:3" s="10" customFormat="1" x14ac:dyDescent="0.25">
      <c r="A2454" t="str">
        <f>"0611838402025"</f>
        <v>0611838402025</v>
      </c>
      <c r="B2454" t="str">
        <f>"MQ0434"</f>
        <v>MQ0434</v>
      </c>
      <c r="C2454" t="s">
        <v>2427</v>
      </c>
    </row>
    <row r="2455" spans="1:3" s="10" customFormat="1" x14ac:dyDescent="0.25">
      <c r="A2455" s="10" t="str">
        <f>"0611863765100"</f>
        <v>0611863765100</v>
      </c>
      <c r="B2455" s="10" t="str">
        <f>"CN5314"</f>
        <v>CN5314</v>
      </c>
      <c r="C2455" s="10" t="s">
        <v>2428</v>
      </c>
    </row>
    <row r="2456" spans="1:3" s="10" customFormat="1" x14ac:dyDescent="0.25">
      <c r="A2456" t="str">
        <f>"0611838403025"</f>
        <v>0611838403025</v>
      </c>
      <c r="B2456" t="str">
        <f>"MQ0323"</f>
        <v>MQ0323</v>
      </c>
      <c r="C2456" t="s">
        <v>2429</v>
      </c>
    </row>
    <row r="2457" spans="1:3" s="10" customFormat="1" x14ac:dyDescent="0.25">
      <c r="A2457" s="10" t="str">
        <f>"0611863766050"</f>
        <v>0611863766050</v>
      </c>
      <c r="B2457" s="10" t="str">
        <f>"CR3946"</f>
        <v>CR3946</v>
      </c>
      <c r="C2457" s="10" t="s">
        <v>2430</v>
      </c>
    </row>
    <row r="2458" spans="1:3" s="10" customFormat="1" x14ac:dyDescent="0.25">
      <c r="A2458" t="str">
        <f>"0611838404025"</f>
        <v>0611838404025</v>
      </c>
      <c r="B2458" t="str">
        <f>"MQ0324"</f>
        <v>MQ0324</v>
      </c>
      <c r="C2458" t="s">
        <v>2431</v>
      </c>
    </row>
    <row r="2459" spans="1:3" s="10" customFormat="1" x14ac:dyDescent="0.25">
      <c r="A2459" s="10" t="str">
        <f>"0611863768100"</f>
        <v>0611863768100</v>
      </c>
      <c r="B2459" s="10" t="str">
        <f>"CN2315"</f>
        <v>CN2315</v>
      </c>
      <c r="C2459" s="10" t="s">
        <v>2432</v>
      </c>
    </row>
    <row r="2460" spans="1:3" s="10" customFormat="1" x14ac:dyDescent="0.25">
      <c r="A2460" t="str">
        <f>"0611857079025"</f>
        <v>0611857079025</v>
      </c>
      <c r="B2460" t="str">
        <f>"MC4415"</f>
        <v>MC4415</v>
      </c>
      <c r="C2460" t="s">
        <v>2433</v>
      </c>
    </row>
    <row r="2461" spans="1:3" s="10" customFormat="1" x14ac:dyDescent="0.25">
      <c r="A2461" t="str">
        <f>"0611838405025"</f>
        <v>0611838405025</v>
      </c>
      <c r="B2461" t="str">
        <f>"MQ0435"</f>
        <v>MQ0435</v>
      </c>
      <c r="C2461" t="s">
        <v>2434</v>
      </c>
    </row>
    <row r="2462" spans="1:3" s="10" customFormat="1" x14ac:dyDescent="0.25">
      <c r="A2462" s="10" t="str">
        <f>"0611863769100"</f>
        <v>0611863769100</v>
      </c>
      <c r="B2462" s="10" t="str">
        <f>"CN5316"</f>
        <v>CN5316</v>
      </c>
      <c r="C2462" s="10" t="s">
        <v>2435</v>
      </c>
    </row>
    <row r="2463" spans="1:3" s="10" customFormat="1" x14ac:dyDescent="0.25">
      <c r="A2463" t="str">
        <f>"0611838406025"</f>
        <v>0611838406025</v>
      </c>
      <c r="B2463" t="str">
        <f>"MQ0325"</f>
        <v>MQ0325</v>
      </c>
      <c r="C2463" t="s">
        <v>2436</v>
      </c>
    </row>
    <row r="2464" spans="1:3" s="10" customFormat="1" x14ac:dyDescent="0.25">
      <c r="A2464" t="str">
        <f>"0611838407025"</f>
        <v>0611838407025</v>
      </c>
      <c r="B2464" t="str">
        <f>"MQ0436"</f>
        <v>MQ0436</v>
      </c>
      <c r="C2464" t="s">
        <v>2437</v>
      </c>
    </row>
    <row r="2465" spans="1:3" s="10" customFormat="1" x14ac:dyDescent="0.25">
      <c r="A2465" s="10" t="str">
        <f>"0611863773100"</f>
        <v>0611863773100</v>
      </c>
      <c r="B2465" s="10" t="str">
        <f>"CN5318"</f>
        <v>CN5318</v>
      </c>
      <c r="C2465" s="10" t="s">
        <v>2438</v>
      </c>
    </row>
    <row r="2466" spans="1:3" s="10" customFormat="1" x14ac:dyDescent="0.25">
      <c r="A2466" s="10" t="str">
        <f>"0611863774050"</f>
        <v>0611863774050</v>
      </c>
      <c r="B2466" s="10" t="str">
        <f>"CR3942"</f>
        <v>CR3942</v>
      </c>
      <c r="C2466" s="10" t="s">
        <v>2439</v>
      </c>
    </row>
    <row r="2467" spans="1:3" s="10" customFormat="1" x14ac:dyDescent="0.25">
      <c r="A2467" s="10" t="str">
        <f>"0611863775100"</f>
        <v>0611863775100</v>
      </c>
      <c r="B2467" s="10" t="str">
        <f>"CN5319"</f>
        <v>CN5319</v>
      </c>
      <c r="C2467" s="10" t="s">
        <v>2440</v>
      </c>
    </row>
    <row r="2468" spans="1:3" s="10" customFormat="1" x14ac:dyDescent="0.25">
      <c r="A2468" s="10" t="str">
        <f>"0611863776050"</f>
        <v>0611863776050</v>
      </c>
      <c r="B2468" s="10" t="str">
        <f>"CR3940"</f>
        <v>CR3940</v>
      </c>
      <c r="C2468" s="10" t="s">
        <v>2441</v>
      </c>
    </row>
    <row r="2469" spans="1:3" s="10" customFormat="1" x14ac:dyDescent="0.25">
      <c r="A2469" s="10" t="str">
        <f>"0611863777100"</f>
        <v>0611863777100</v>
      </c>
      <c r="B2469" s="10" t="str">
        <f>"CN5320"</f>
        <v>CN5320</v>
      </c>
      <c r="C2469" s="10" t="s">
        <v>2442</v>
      </c>
    </row>
    <row r="2470" spans="1:3" s="10" customFormat="1" x14ac:dyDescent="0.25">
      <c r="A2470" s="10" t="str">
        <f>"0611863778050"</f>
        <v>0611863778050</v>
      </c>
      <c r="B2470" s="10" t="str">
        <f>"CR3941"</f>
        <v>CR3941</v>
      </c>
      <c r="C2470" s="10" t="s">
        <v>2443</v>
      </c>
    </row>
    <row r="2471" spans="1:3" s="10" customFormat="1" x14ac:dyDescent="0.25">
      <c r="A2471" s="10" t="str">
        <f>"0611863779100"</f>
        <v>0611863779100</v>
      </c>
      <c r="B2471" s="10" t="str">
        <f>"CN2316"</f>
        <v>CN2316</v>
      </c>
      <c r="C2471" s="10" t="s">
        <v>2444</v>
      </c>
    </row>
    <row r="2472" spans="1:3" s="10" customFormat="1" x14ac:dyDescent="0.25">
      <c r="A2472" s="10" t="str">
        <f>"0611863780100"</f>
        <v>0611863780100</v>
      </c>
      <c r="B2472" s="10" t="str">
        <f>"CN5321"</f>
        <v>CN5321</v>
      </c>
      <c r="C2472" s="10" t="s">
        <v>2445</v>
      </c>
    </row>
    <row r="2473" spans="1:3" s="10" customFormat="1" x14ac:dyDescent="0.25">
      <c r="A2473" s="10" t="str">
        <f>"0611863781050"</f>
        <v>0611863781050</v>
      </c>
      <c r="B2473" s="10" t="str">
        <f>"CR3943"</f>
        <v>CR3943</v>
      </c>
      <c r="C2473" s="10" t="s">
        <v>2446</v>
      </c>
    </row>
    <row r="2474" spans="1:3" s="10" customFormat="1" x14ac:dyDescent="0.25">
      <c r="A2474" s="10" t="str">
        <f>"0611893655100"</f>
        <v>0611893655100</v>
      </c>
      <c r="B2474" s="10" t="str">
        <f>"CN5460"</f>
        <v>CN5460</v>
      </c>
      <c r="C2474" s="10" t="s">
        <v>2447</v>
      </c>
    </row>
    <row r="2475" spans="1:3" s="10" customFormat="1" x14ac:dyDescent="0.25">
      <c r="A2475" s="10" t="str">
        <f>"0611863782100"</f>
        <v>0611863782100</v>
      </c>
      <c r="B2475" s="10" t="str">
        <f>"CN5322"</f>
        <v>CN5322</v>
      </c>
      <c r="C2475" s="10" t="s">
        <v>2448</v>
      </c>
    </row>
    <row r="2476" spans="1:3" s="10" customFormat="1" x14ac:dyDescent="0.25">
      <c r="A2476" s="10" t="str">
        <f>"0611863783100"</f>
        <v>0611863783100</v>
      </c>
      <c r="B2476" s="10" t="str">
        <f>"CN5324"</f>
        <v>CN5324</v>
      </c>
      <c r="C2476" s="10" t="s">
        <v>2449</v>
      </c>
    </row>
    <row r="2477" spans="1:3" s="10" customFormat="1" x14ac:dyDescent="0.25">
      <c r="A2477" t="str">
        <f>"0611838409025"</f>
        <v>0611838409025</v>
      </c>
      <c r="B2477" t="str">
        <f>"MQ0326"</f>
        <v>MQ0326</v>
      </c>
      <c r="C2477" t="s">
        <v>2450</v>
      </c>
    </row>
    <row r="2478" spans="1:3" s="10" customFormat="1" x14ac:dyDescent="0.25">
      <c r="A2478" s="10" t="str">
        <f>"0611863784050"</f>
        <v>0611863784050</v>
      </c>
      <c r="B2478" s="10" t="str">
        <f>"CR3944"</f>
        <v>CR3944</v>
      </c>
      <c r="C2478" s="10" t="s">
        <v>2451</v>
      </c>
    </row>
    <row r="2479" spans="1:3" s="10" customFormat="1" x14ac:dyDescent="0.25">
      <c r="A2479" s="10" t="str">
        <f>"0611863785100"</f>
        <v>0611863785100</v>
      </c>
      <c r="B2479" s="10" t="str">
        <f>"CN5323"</f>
        <v>CN5323</v>
      </c>
      <c r="C2479" s="10" t="s">
        <v>2452</v>
      </c>
    </row>
    <row r="2480" spans="1:3" s="10" customFormat="1" x14ac:dyDescent="0.25">
      <c r="A2480" t="str">
        <f>"0611838410025"</f>
        <v>0611838410025</v>
      </c>
      <c r="B2480" t="str">
        <f>"MQ0437"</f>
        <v>MQ0437</v>
      </c>
      <c r="C2480" t="s">
        <v>2453</v>
      </c>
    </row>
    <row r="2481" spans="1:3" s="10" customFormat="1" x14ac:dyDescent="0.25">
      <c r="A2481" s="10" t="str">
        <f>"0611863786050"</f>
        <v>0611863786050</v>
      </c>
      <c r="B2481" s="10" t="str">
        <f>"CR3254"</f>
        <v>CR3254</v>
      </c>
      <c r="C2481" s="10" t="s">
        <v>2454</v>
      </c>
    </row>
    <row r="2482" spans="1:3" s="10" customFormat="1" x14ac:dyDescent="0.25">
      <c r="A2482" s="10" t="str">
        <f>"0611863787100"</f>
        <v>0611863787100</v>
      </c>
      <c r="B2482" s="10" t="str">
        <f>"CN5325"</f>
        <v>CN5325</v>
      </c>
      <c r="C2482" s="10" t="s">
        <v>2455</v>
      </c>
    </row>
    <row r="2483" spans="1:3" s="10" customFormat="1" x14ac:dyDescent="0.25">
      <c r="A2483" t="str">
        <f>"0611838411025"</f>
        <v>0611838411025</v>
      </c>
      <c r="B2483" t="str">
        <f>"MQ0327"</f>
        <v>MQ0327</v>
      </c>
      <c r="C2483" t="s">
        <v>2456</v>
      </c>
    </row>
    <row r="2484" spans="1:3" s="10" customFormat="1" x14ac:dyDescent="0.25">
      <c r="A2484" s="10" t="str">
        <f>"0611863788050"</f>
        <v>0611863788050</v>
      </c>
      <c r="B2484" s="10" t="str">
        <f>"CR4426"</f>
        <v>CR4426</v>
      </c>
      <c r="C2484" s="10" t="s">
        <v>2457</v>
      </c>
    </row>
    <row r="2485" spans="1:3" s="10" customFormat="1" x14ac:dyDescent="0.25">
      <c r="A2485" s="10" t="str">
        <f>"0611863789050"</f>
        <v>0611863789050</v>
      </c>
      <c r="B2485" s="10" t="str">
        <f>"CR4427"</f>
        <v>CR4427</v>
      </c>
      <c r="C2485" s="10" t="s">
        <v>2458</v>
      </c>
    </row>
    <row r="2486" spans="1:3" s="10" customFormat="1" x14ac:dyDescent="0.25">
      <c r="A2486" s="10" t="str">
        <f>"0611863790100"</f>
        <v>0611863790100</v>
      </c>
      <c r="B2486" s="10" t="str">
        <f>"CN2317"</f>
        <v>CN2317</v>
      </c>
      <c r="C2486" s="10" t="s">
        <v>2459</v>
      </c>
    </row>
    <row r="2487" spans="1:3" s="10" customFormat="1" x14ac:dyDescent="0.25">
      <c r="A2487" t="str">
        <f>"0611857080025"</f>
        <v>0611857080025</v>
      </c>
      <c r="B2487" t="str">
        <f>"MC4416"</f>
        <v>MC4416</v>
      </c>
      <c r="C2487" t="s">
        <v>2460</v>
      </c>
    </row>
    <row r="2488" spans="1:3" s="10" customFormat="1" x14ac:dyDescent="0.25">
      <c r="A2488" s="10" t="str">
        <f>"0611863791100"</f>
        <v>0611863791100</v>
      </c>
      <c r="B2488" s="10" t="str">
        <f>"CN5327"</f>
        <v>CN5327</v>
      </c>
      <c r="C2488" s="10" t="s">
        <v>2461</v>
      </c>
    </row>
    <row r="2489" spans="1:3" s="10" customFormat="1" x14ac:dyDescent="0.25">
      <c r="A2489" t="str">
        <f>"0611838414025"</f>
        <v>0611838414025</v>
      </c>
      <c r="B2489" t="str">
        <f>"MQ0328"</f>
        <v>MQ0328</v>
      </c>
      <c r="C2489" t="s">
        <v>2462</v>
      </c>
    </row>
    <row r="2490" spans="1:3" s="10" customFormat="1" x14ac:dyDescent="0.25">
      <c r="A2490" s="10" t="str">
        <f>"0611863792050"</f>
        <v>0611863792050</v>
      </c>
      <c r="B2490" s="10" t="str">
        <f>"CR3947"</f>
        <v>CR3947</v>
      </c>
      <c r="C2490" s="10" t="s">
        <v>2463</v>
      </c>
    </row>
    <row r="2491" spans="1:3" s="10" customFormat="1" x14ac:dyDescent="0.25">
      <c r="A2491" s="10" t="str">
        <f>"0611863793100"</f>
        <v>0611863793100</v>
      </c>
      <c r="B2491" s="10" t="str">
        <f>"CN5326"</f>
        <v>CN5326</v>
      </c>
      <c r="C2491" s="10" t="s">
        <v>2464</v>
      </c>
    </row>
    <row r="2492" spans="1:3" s="10" customFormat="1" x14ac:dyDescent="0.25">
      <c r="A2492" t="str">
        <f>"0611838415025"</f>
        <v>0611838415025</v>
      </c>
      <c r="B2492" t="str">
        <f>"MQ0439"</f>
        <v>MQ0439</v>
      </c>
      <c r="C2492" t="s">
        <v>2465</v>
      </c>
    </row>
    <row r="2493" spans="1:3" s="10" customFormat="1" x14ac:dyDescent="0.25">
      <c r="A2493" s="10" t="str">
        <f>"0611863794100"</f>
        <v>0611863794100</v>
      </c>
      <c r="B2493" s="10" t="str">
        <f>"CN5297"</f>
        <v>CN5297</v>
      </c>
      <c r="C2493" s="10" t="s">
        <v>2466</v>
      </c>
    </row>
    <row r="2494" spans="1:3" s="10" customFormat="1" x14ac:dyDescent="0.25">
      <c r="A2494" s="10" t="str">
        <f>"0611863795050"</f>
        <v>0611863795050</v>
      </c>
      <c r="B2494" s="10" t="str">
        <f>"CR4417"</f>
        <v>CR4417</v>
      </c>
      <c r="C2494" s="10" t="s">
        <v>2467</v>
      </c>
    </row>
    <row r="2495" spans="1:3" s="10" customFormat="1" x14ac:dyDescent="0.25">
      <c r="A2495" s="10" t="str">
        <f>"0611863801050"</f>
        <v>0611863801050</v>
      </c>
      <c r="B2495" s="10" t="str">
        <f>"CR4429"</f>
        <v>CR4429</v>
      </c>
      <c r="C2495" s="10" t="s">
        <v>2468</v>
      </c>
    </row>
    <row r="2496" spans="1:3" s="10" customFormat="1" x14ac:dyDescent="0.25">
      <c r="A2496" s="10" t="str">
        <f>"0611863802100"</f>
        <v>0611863802100</v>
      </c>
      <c r="B2496" s="10" t="str">
        <f>"CN2386"</f>
        <v>CN2386</v>
      </c>
      <c r="C2496" s="10" t="s">
        <v>2469</v>
      </c>
    </row>
    <row r="2497" spans="1:3" s="10" customFormat="1" x14ac:dyDescent="0.25">
      <c r="A2497" s="10" t="str">
        <f>"0611863805050"</f>
        <v>0611863805050</v>
      </c>
      <c r="B2497" s="10" t="str">
        <f>"CR2523"</f>
        <v>CR2523</v>
      </c>
      <c r="C2497" s="10" t="s">
        <v>2470</v>
      </c>
    </row>
    <row r="2498" spans="1:3" s="10" customFormat="1" x14ac:dyDescent="0.25">
      <c r="A2498" s="10" t="str">
        <f>"0611863806050"</f>
        <v>0611863806050</v>
      </c>
      <c r="B2498" s="10" t="str">
        <f>"CR2519"</f>
        <v>CR2519</v>
      </c>
      <c r="C2498" s="10" t="s">
        <v>2471</v>
      </c>
    </row>
    <row r="2499" spans="1:3" s="10" customFormat="1" x14ac:dyDescent="0.25">
      <c r="A2499" s="10" t="str">
        <f>"0611863807050"</f>
        <v>0611863807050</v>
      </c>
      <c r="B2499" s="10" t="str">
        <f>"CR2520"</f>
        <v>CR2520</v>
      </c>
      <c r="C2499" s="10" t="s">
        <v>2472</v>
      </c>
    </row>
    <row r="2500" spans="1:3" s="10" customFormat="1" x14ac:dyDescent="0.25">
      <c r="A2500" s="10" t="str">
        <f>"0611863808050"</f>
        <v>0611863808050</v>
      </c>
      <c r="B2500" s="10" t="str">
        <f>"CR2522"</f>
        <v>CR2522</v>
      </c>
      <c r="C2500" s="10" t="s">
        <v>2473</v>
      </c>
    </row>
    <row r="2501" spans="1:3" s="10" customFormat="1" x14ac:dyDescent="0.25">
      <c r="A2501" s="10" t="str">
        <f>"0611863809050"</f>
        <v>0611863809050</v>
      </c>
      <c r="B2501" s="10" t="str">
        <f>"CR2521"</f>
        <v>CR2521</v>
      </c>
      <c r="C2501" s="10" t="s">
        <v>2474</v>
      </c>
    </row>
    <row r="2502" spans="1:3" s="10" customFormat="1" x14ac:dyDescent="0.25">
      <c r="A2502" s="10" t="str">
        <f>"0611893656100"</f>
        <v>0611893656100</v>
      </c>
      <c r="B2502" s="10" t="str">
        <f>"CN5498"</f>
        <v>CN5498</v>
      </c>
      <c r="C2502" s="10" t="s">
        <v>2475</v>
      </c>
    </row>
    <row r="2503" spans="1:3" s="10" customFormat="1" x14ac:dyDescent="0.25">
      <c r="A2503" s="10" t="str">
        <f>"0611863812050"</f>
        <v>0611863812050</v>
      </c>
      <c r="B2503" s="10" t="str">
        <f>"CR4438"</f>
        <v>CR4438</v>
      </c>
      <c r="C2503" s="10" t="s">
        <v>2476</v>
      </c>
    </row>
    <row r="2504" spans="1:3" s="10" customFormat="1" x14ac:dyDescent="0.25">
      <c r="A2504" s="10" t="str">
        <f>"0611863813100"</f>
        <v>0611863813100</v>
      </c>
      <c r="B2504" s="10" t="str">
        <f>"CN5347"</f>
        <v>CN5347</v>
      </c>
      <c r="C2504" s="10" t="s">
        <v>2477</v>
      </c>
    </row>
    <row r="2505" spans="1:3" s="10" customFormat="1" x14ac:dyDescent="0.25">
      <c r="A2505" s="10" t="str">
        <f>"0611863815050"</f>
        <v>0611863815050</v>
      </c>
      <c r="B2505" s="10" t="str">
        <f>"CR4431"</f>
        <v>CR4431</v>
      </c>
      <c r="C2505" s="10" t="s">
        <v>2478</v>
      </c>
    </row>
    <row r="2506" spans="1:3" s="10" customFormat="1" x14ac:dyDescent="0.25">
      <c r="A2506" s="10" t="str">
        <f>"0611863816100"</f>
        <v>0611863816100</v>
      </c>
      <c r="B2506" s="10" t="str">
        <f>"CN5328"</f>
        <v>CN5328</v>
      </c>
      <c r="C2506" s="10" t="s">
        <v>2479</v>
      </c>
    </row>
    <row r="2507" spans="1:3" s="10" customFormat="1" x14ac:dyDescent="0.25">
      <c r="A2507" s="10" t="str">
        <f>"0611863819100"</f>
        <v>0611863819100</v>
      </c>
      <c r="B2507" s="10" t="str">
        <f>"CN5330"</f>
        <v>CN5330</v>
      </c>
      <c r="C2507" s="10" t="s">
        <v>2480</v>
      </c>
    </row>
    <row r="2508" spans="1:3" s="10" customFormat="1" x14ac:dyDescent="0.25">
      <c r="A2508" s="10" t="str">
        <f>"0611893657100"</f>
        <v>0611893657100</v>
      </c>
      <c r="B2508" s="10" t="str">
        <f>"CN5500"</f>
        <v>CN5500</v>
      </c>
      <c r="C2508" s="10" t="s">
        <v>2481</v>
      </c>
    </row>
    <row r="2509" spans="1:3" s="10" customFormat="1" x14ac:dyDescent="0.25">
      <c r="A2509" s="10" t="str">
        <f>"0611893658100"</f>
        <v>0611893658100</v>
      </c>
      <c r="B2509" s="10" t="str">
        <f>"CN5501"</f>
        <v>CN5501</v>
      </c>
      <c r="C2509" s="10" t="s">
        <v>2482</v>
      </c>
    </row>
    <row r="2510" spans="1:3" s="10" customFormat="1" x14ac:dyDescent="0.25">
      <c r="A2510" s="10" t="str">
        <f>"0611863821100"</f>
        <v>0611863821100</v>
      </c>
      <c r="B2510" s="10" t="str">
        <f>"CN5331"</f>
        <v>CN5331</v>
      </c>
      <c r="C2510" s="10" t="s">
        <v>2483</v>
      </c>
    </row>
    <row r="2511" spans="1:3" s="10" customFormat="1" x14ac:dyDescent="0.25">
      <c r="A2511" s="10" t="str">
        <f>"0611863823100"</f>
        <v>0611863823100</v>
      </c>
      <c r="B2511" s="10" t="str">
        <f>"CN5332"</f>
        <v>CN5332</v>
      </c>
      <c r="C2511" s="10" t="s">
        <v>2484</v>
      </c>
    </row>
    <row r="2512" spans="1:3" s="10" customFormat="1" x14ac:dyDescent="0.25">
      <c r="A2512" s="10" t="str">
        <f>"0611863825100"</f>
        <v>0611863825100</v>
      </c>
      <c r="B2512" s="10" t="str">
        <f>"CN5333"</f>
        <v>CN5333</v>
      </c>
      <c r="C2512" s="10" t="s">
        <v>2485</v>
      </c>
    </row>
    <row r="2513" spans="1:3" s="10" customFormat="1" x14ac:dyDescent="0.25">
      <c r="A2513" s="10" t="str">
        <f>"0611863827100"</f>
        <v>0611863827100</v>
      </c>
      <c r="B2513" s="10" t="str">
        <f>"CN5334"</f>
        <v>CN5334</v>
      </c>
      <c r="C2513" s="10" t="s">
        <v>2486</v>
      </c>
    </row>
    <row r="2514" spans="1:3" s="10" customFormat="1" x14ac:dyDescent="0.25">
      <c r="A2514" s="10" t="str">
        <f>"0611863828100"</f>
        <v>0611863828100</v>
      </c>
      <c r="B2514" s="10" t="str">
        <f>"CN5335"</f>
        <v>CN5335</v>
      </c>
      <c r="C2514" s="10" t="s">
        <v>2487</v>
      </c>
    </row>
    <row r="2515" spans="1:3" s="10" customFormat="1" x14ac:dyDescent="0.25">
      <c r="A2515" s="10" t="str">
        <f>"0611863829100"</f>
        <v>0611863829100</v>
      </c>
      <c r="B2515" s="10" t="str">
        <f>"CN5336"</f>
        <v>CN5336</v>
      </c>
      <c r="C2515" s="10" t="s">
        <v>2488</v>
      </c>
    </row>
    <row r="2516" spans="1:3" s="10" customFormat="1" x14ac:dyDescent="0.25">
      <c r="A2516" s="10" t="str">
        <f>"0611863830050"</f>
        <v>0611863830050</v>
      </c>
      <c r="B2516" s="10" t="str">
        <f>"CR3831"</f>
        <v>CR3831</v>
      </c>
      <c r="C2516" s="10" t="s">
        <v>2489</v>
      </c>
    </row>
    <row r="2517" spans="1:3" s="10" customFormat="1" x14ac:dyDescent="0.25">
      <c r="A2517" s="10" t="str">
        <f>"0611863831100"</f>
        <v>0611863831100</v>
      </c>
      <c r="B2517" s="10" t="str">
        <f>"CN5337"</f>
        <v>CN5337</v>
      </c>
      <c r="C2517" s="10" t="s">
        <v>2490</v>
      </c>
    </row>
    <row r="2518" spans="1:3" s="10" customFormat="1" x14ac:dyDescent="0.25">
      <c r="A2518" s="10" t="str">
        <f>"0611863832100"</f>
        <v>0611863832100</v>
      </c>
      <c r="B2518" s="10" t="str">
        <f>"CN5338"</f>
        <v>CN5338</v>
      </c>
      <c r="C2518" s="10" t="s">
        <v>2491</v>
      </c>
    </row>
    <row r="2519" spans="1:3" s="10" customFormat="1" x14ac:dyDescent="0.25">
      <c r="A2519" t="str">
        <f>"0611838461100"</f>
        <v>0611838461100</v>
      </c>
      <c r="B2519" t="str">
        <f>"LH8876"</f>
        <v>LH8876</v>
      </c>
      <c r="C2519" t="s">
        <v>2492</v>
      </c>
    </row>
    <row r="2520" spans="1:3" s="10" customFormat="1" x14ac:dyDescent="0.25">
      <c r="A2520" s="10" t="str">
        <f>"0611863833100"</f>
        <v>0611863833100</v>
      </c>
      <c r="B2520" s="10" t="str">
        <f>"CN5339"</f>
        <v>CN5339</v>
      </c>
      <c r="C2520" s="10" t="s">
        <v>2493</v>
      </c>
    </row>
    <row r="2521" spans="1:3" s="10" customFormat="1" x14ac:dyDescent="0.25">
      <c r="A2521" s="10" t="str">
        <f>"0611863834050"</f>
        <v>0611863834050</v>
      </c>
      <c r="B2521" s="10" t="str">
        <f>"CR3832"</f>
        <v>CR3832</v>
      </c>
      <c r="C2521" s="10" t="s">
        <v>2494</v>
      </c>
    </row>
    <row r="2522" spans="1:3" s="10" customFormat="1" x14ac:dyDescent="0.25">
      <c r="A2522" s="10" t="str">
        <f>"0611863835050"</f>
        <v>0611863835050</v>
      </c>
      <c r="B2522" s="10" t="str">
        <f>"CR3824"</f>
        <v>CR3824</v>
      </c>
      <c r="C2522" s="10" t="s">
        <v>2495</v>
      </c>
    </row>
    <row r="2523" spans="1:3" s="10" customFormat="1" x14ac:dyDescent="0.25">
      <c r="A2523" s="10" t="str">
        <f>"0611863836050"</f>
        <v>0611863836050</v>
      </c>
      <c r="B2523" s="10" t="str">
        <f>"CR3825"</f>
        <v>CR3825</v>
      </c>
      <c r="C2523" s="10" t="s">
        <v>2496</v>
      </c>
    </row>
    <row r="2524" spans="1:3" s="10" customFormat="1" x14ac:dyDescent="0.25">
      <c r="A2524" s="10" t="str">
        <f>"0611863850100"</f>
        <v>0611863850100</v>
      </c>
      <c r="B2524" s="10" t="str">
        <f>"CN5299"</f>
        <v>CN5299</v>
      </c>
      <c r="C2524" s="10" t="s">
        <v>2497</v>
      </c>
    </row>
    <row r="2525" spans="1:3" s="10" customFormat="1" x14ac:dyDescent="0.25">
      <c r="A2525" s="10" t="str">
        <f>"0611863851050"</f>
        <v>0611863851050</v>
      </c>
      <c r="B2525" s="10" t="str">
        <f>"CR4874"</f>
        <v>CR4874</v>
      </c>
      <c r="C2525" s="10" t="s">
        <v>2498</v>
      </c>
    </row>
    <row r="2526" spans="1:3" s="10" customFormat="1" x14ac:dyDescent="0.25">
      <c r="A2526" s="10" t="str">
        <f>"0611893659100"</f>
        <v>0611893659100</v>
      </c>
      <c r="B2526" s="10" t="str">
        <f>"CN5496"</f>
        <v>CN5496</v>
      </c>
      <c r="C2526" s="10" t="s">
        <v>2499</v>
      </c>
    </row>
    <row r="2527" spans="1:3" s="10" customFormat="1" x14ac:dyDescent="0.25">
      <c r="A2527" s="10" t="str">
        <f>"0611863852100"</f>
        <v>0611863852100</v>
      </c>
      <c r="B2527" s="10" t="str">
        <f>"CN5300"</f>
        <v>CN5300</v>
      </c>
      <c r="C2527" s="10" t="s">
        <v>2500</v>
      </c>
    </row>
    <row r="2528" spans="1:3" s="10" customFormat="1" x14ac:dyDescent="0.25">
      <c r="A2528" s="10" t="str">
        <f>"0611863853050"</f>
        <v>0611863853050</v>
      </c>
      <c r="B2528" s="10" t="str">
        <f>"CR4873"</f>
        <v>CR4873</v>
      </c>
      <c r="C2528" s="10" t="s">
        <v>2501</v>
      </c>
    </row>
    <row r="2529" spans="1:3" s="10" customFormat="1" x14ac:dyDescent="0.25">
      <c r="A2529" s="10" t="str">
        <f>"0611893660100"</f>
        <v>0611893660100</v>
      </c>
      <c r="B2529" s="10" t="str">
        <f>"CN5497"</f>
        <v>CN5497</v>
      </c>
      <c r="C2529" s="10" t="s">
        <v>2502</v>
      </c>
    </row>
    <row r="2530" spans="1:3" s="10" customFormat="1" x14ac:dyDescent="0.25">
      <c r="A2530" s="10" t="str">
        <f>"0611863854100"</f>
        <v>0611863854100</v>
      </c>
      <c r="B2530" s="10" t="str">
        <f>"CN5301"</f>
        <v>CN5301</v>
      </c>
      <c r="C2530" s="10" t="s">
        <v>2503</v>
      </c>
    </row>
    <row r="2531" spans="1:3" s="10" customFormat="1" x14ac:dyDescent="0.25">
      <c r="A2531" s="10" t="str">
        <f>"0611863855050"</f>
        <v>0611863855050</v>
      </c>
      <c r="B2531" s="10" t="str">
        <f>"CR4876"</f>
        <v>CR4876</v>
      </c>
      <c r="C2531" s="10" t="s">
        <v>2504</v>
      </c>
    </row>
    <row r="2532" spans="1:3" s="10" customFormat="1" x14ac:dyDescent="0.25">
      <c r="A2532" s="10" t="str">
        <f>"0611863856100"</f>
        <v>0611863856100</v>
      </c>
      <c r="B2532" s="10" t="str">
        <f>"CN5302"</f>
        <v>CN5302</v>
      </c>
      <c r="C2532" s="10" t="s">
        <v>2505</v>
      </c>
    </row>
    <row r="2533" spans="1:3" s="10" customFormat="1" x14ac:dyDescent="0.25">
      <c r="A2533" s="10" t="str">
        <f>"0611863857050"</f>
        <v>0611863857050</v>
      </c>
      <c r="B2533" s="10" t="str">
        <f>"CR4875"</f>
        <v>CR4875</v>
      </c>
      <c r="C2533" s="10" t="s">
        <v>2506</v>
      </c>
    </row>
    <row r="2534" spans="1:3" s="10" customFormat="1" x14ac:dyDescent="0.25">
      <c r="A2534" s="10" t="str">
        <f>"0611863861050"</f>
        <v>0611863861050</v>
      </c>
      <c r="B2534" s="10" t="str">
        <f>"CR4066"</f>
        <v>CR4066</v>
      </c>
      <c r="C2534" s="10" t="s">
        <v>2507</v>
      </c>
    </row>
    <row r="2535" spans="1:3" s="10" customFormat="1" x14ac:dyDescent="0.25">
      <c r="A2535" s="10" t="str">
        <f>"0611863862050"</f>
        <v>0611863862050</v>
      </c>
      <c r="B2535" s="10" t="str">
        <f>"CR2995"</f>
        <v>CR2995</v>
      </c>
      <c r="C2535" s="10" t="s">
        <v>2508</v>
      </c>
    </row>
    <row r="2536" spans="1:3" s="10" customFormat="1" x14ac:dyDescent="0.25">
      <c r="A2536" s="10" t="str">
        <f>"0611863863050"</f>
        <v>0611863863050</v>
      </c>
      <c r="B2536" s="10" t="str">
        <f>"CR2524"</f>
        <v>CR2524</v>
      </c>
      <c r="C2536" s="10" t="s">
        <v>2509</v>
      </c>
    </row>
    <row r="2537" spans="1:3" s="10" customFormat="1" x14ac:dyDescent="0.25">
      <c r="A2537" s="10" t="str">
        <f>"0611863864050"</f>
        <v>0611863864050</v>
      </c>
      <c r="B2537" s="10" t="str">
        <f>"CR2997"</f>
        <v>CR2997</v>
      </c>
      <c r="C2537" s="10" t="s">
        <v>2510</v>
      </c>
    </row>
    <row r="2538" spans="1:3" s="10" customFormat="1" x14ac:dyDescent="0.25">
      <c r="A2538" s="10" t="str">
        <f>"0611863865050"</f>
        <v>0611863865050</v>
      </c>
      <c r="B2538" s="10" t="str">
        <f>"CR2999"</f>
        <v>CR2999</v>
      </c>
      <c r="C2538" s="10" t="s">
        <v>2511</v>
      </c>
    </row>
    <row r="2539" spans="1:3" s="10" customFormat="1" x14ac:dyDescent="0.25">
      <c r="A2539" s="10" t="str">
        <f>"0611863866050"</f>
        <v>0611863866050</v>
      </c>
      <c r="B2539" s="10" t="str">
        <f>"CR3191"</f>
        <v>CR3191</v>
      </c>
      <c r="C2539" s="10" t="s">
        <v>2512</v>
      </c>
    </row>
    <row r="2540" spans="1:3" s="10" customFormat="1" x14ac:dyDescent="0.25">
      <c r="A2540" s="10" t="str">
        <f>"0611863867050"</f>
        <v>0611863867050</v>
      </c>
      <c r="B2540" s="10" t="str">
        <f>"CR3192"</f>
        <v>CR3192</v>
      </c>
      <c r="C2540" s="10" t="s">
        <v>2513</v>
      </c>
    </row>
    <row r="2541" spans="1:3" s="10" customFormat="1" x14ac:dyDescent="0.25">
      <c r="A2541" s="10" t="str">
        <f>"0611863868050"</f>
        <v>0611863868050</v>
      </c>
      <c r="B2541" s="10" t="str">
        <f>"CR3001"</f>
        <v>CR3001</v>
      </c>
      <c r="C2541" s="10" t="s">
        <v>2514</v>
      </c>
    </row>
    <row r="2542" spans="1:3" s="10" customFormat="1" x14ac:dyDescent="0.25">
      <c r="A2542" s="10" t="str">
        <f>"0611863869050"</f>
        <v>0611863869050</v>
      </c>
      <c r="B2542" s="10" t="str">
        <f>"CR3002"</f>
        <v>CR3002</v>
      </c>
      <c r="C2542" s="10" t="s">
        <v>2515</v>
      </c>
    </row>
    <row r="2543" spans="1:3" s="10" customFormat="1" x14ac:dyDescent="0.25">
      <c r="A2543" s="10" t="str">
        <f>"0611863870050"</f>
        <v>0611863870050</v>
      </c>
      <c r="B2543" s="10" t="str">
        <f>"CR3003"</f>
        <v>CR3003</v>
      </c>
      <c r="C2543" s="10" t="s">
        <v>2516</v>
      </c>
    </row>
    <row r="2544" spans="1:3" s="10" customFormat="1" x14ac:dyDescent="0.25">
      <c r="A2544" s="10" t="str">
        <f>"0611863871050"</f>
        <v>0611863871050</v>
      </c>
      <c r="B2544" s="10" t="str">
        <f>"CR4037"</f>
        <v>CR4037</v>
      </c>
      <c r="C2544" s="10" t="s">
        <v>2517</v>
      </c>
    </row>
    <row r="2545" spans="1:3" s="10" customFormat="1" x14ac:dyDescent="0.25">
      <c r="A2545" s="10" t="str">
        <f>"0611863872050"</f>
        <v>0611863872050</v>
      </c>
      <c r="B2545" s="10" t="str">
        <f>"CR4038"</f>
        <v>CR4038</v>
      </c>
      <c r="C2545" s="10" t="s">
        <v>2518</v>
      </c>
    </row>
    <row r="2546" spans="1:3" s="10" customFormat="1" x14ac:dyDescent="0.25">
      <c r="A2546" s="10" t="str">
        <f>"0611863873050"</f>
        <v>0611863873050</v>
      </c>
      <c r="B2546" s="10" t="str">
        <f>"CR3004"</f>
        <v>CR3004</v>
      </c>
      <c r="C2546" s="10" t="s">
        <v>2519</v>
      </c>
    </row>
    <row r="2547" spans="1:3" s="10" customFormat="1" x14ac:dyDescent="0.25">
      <c r="A2547" s="10" t="str">
        <f>"0611863874050"</f>
        <v>0611863874050</v>
      </c>
      <c r="B2547" s="10" t="str">
        <f>"CR2525"</f>
        <v>CR2525</v>
      </c>
      <c r="C2547" s="10" t="s">
        <v>2520</v>
      </c>
    </row>
    <row r="2548" spans="1:3" s="10" customFormat="1" x14ac:dyDescent="0.25">
      <c r="A2548" s="10" t="str">
        <f>"0611863875050"</f>
        <v>0611863875050</v>
      </c>
      <c r="B2548" s="10" t="str">
        <f>"CR2526"</f>
        <v>CR2526</v>
      </c>
      <c r="C2548" s="10" t="s">
        <v>2521</v>
      </c>
    </row>
    <row r="2549" spans="1:3" s="10" customFormat="1" x14ac:dyDescent="0.25">
      <c r="A2549" s="10" t="str">
        <f>"0611863876050"</f>
        <v>0611863876050</v>
      </c>
      <c r="B2549" s="10" t="str">
        <f>"CR4054"</f>
        <v>CR4054</v>
      </c>
      <c r="C2549" s="10" t="s">
        <v>2522</v>
      </c>
    </row>
    <row r="2550" spans="1:3" s="10" customFormat="1" x14ac:dyDescent="0.25">
      <c r="A2550" s="10" t="str">
        <f>"0611863877050"</f>
        <v>0611863877050</v>
      </c>
      <c r="B2550" s="10" t="str">
        <f>"CR2527"</f>
        <v>CR2527</v>
      </c>
      <c r="C2550" s="10" t="s">
        <v>2523</v>
      </c>
    </row>
    <row r="2551" spans="1:3" s="10" customFormat="1" x14ac:dyDescent="0.25">
      <c r="A2551" s="10" t="str">
        <f>"0611863878050"</f>
        <v>0611863878050</v>
      </c>
      <c r="B2551" s="10" t="str">
        <f>"CR5011"</f>
        <v>CR5011</v>
      </c>
      <c r="C2551" s="10" t="s">
        <v>2524</v>
      </c>
    </row>
    <row r="2552" spans="1:3" s="10" customFormat="1" x14ac:dyDescent="0.25">
      <c r="A2552" s="10" t="str">
        <f>"0611863879050"</f>
        <v>0611863879050</v>
      </c>
      <c r="B2552" s="10" t="str">
        <f>"CR4868"</f>
        <v>CR4868</v>
      </c>
      <c r="C2552" s="10" t="s">
        <v>2525</v>
      </c>
    </row>
    <row r="2553" spans="1:3" s="10" customFormat="1" x14ac:dyDescent="0.25">
      <c r="A2553" s="10" t="str">
        <f>"0611863880050"</f>
        <v>0611863880050</v>
      </c>
      <c r="B2553" s="10" t="str">
        <f>"CR2528"</f>
        <v>CR2528</v>
      </c>
      <c r="C2553" s="10" t="s">
        <v>2526</v>
      </c>
    </row>
    <row r="2554" spans="1:3" s="10" customFormat="1" x14ac:dyDescent="0.25">
      <c r="A2554" s="10" t="str">
        <f>"0611863881050"</f>
        <v>0611863881050</v>
      </c>
      <c r="B2554" s="10" t="str">
        <f>"CR4867"</f>
        <v>CR4867</v>
      </c>
      <c r="C2554" s="10" t="s">
        <v>2527</v>
      </c>
    </row>
    <row r="2555" spans="1:3" s="10" customFormat="1" x14ac:dyDescent="0.25">
      <c r="A2555" s="10" t="str">
        <f>"0611863882050"</f>
        <v>0611863882050</v>
      </c>
      <c r="B2555" s="10" t="str">
        <f>"CR3914"</f>
        <v>CR3914</v>
      </c>
      <c r="C2555" s="10" t="s">
        <v>2528</v>
      </c>
    </row>
    <row r="2556" spans="1:3" s="10" customFormat="1" x14ac:dyDescent="0.25">
      <c r="A2556" s="10" t="str">
        <f>"0611906594050"</f>
        <v>0611906594050</v>
      </c>
      <c r="B2556" s="10" t="str">
        <f>"CR5512"</f>
        <v>CR5512</v>
      </c>
      <c r="C2556" s="10" t="s">
        <v>2529</v>
      </c>
    </row>
    <row r="2557" spans="1:3" s="10" customFormat="1" x14ac:dyDescent="0.25">
      <c r="A2557" s="10" t="str">
        <f>"0611863883050"</f>
        <v>0611863883050</v>
      </c>
      <c r="B2557" s="10" t="str">
        <f>"CR3738"</f>
        <v>CR3738</v>
      </c>
      <c r="C2557" s="10" t="s">
        <v>2530</v>
      </c>
    </row>
    <row r="2558" spans="1:3" s="10" customFormat="1" x14ac:dyDescent="0.25">
      <c r="A2558" s="10" t="str">
        <f>"0611863884050"</f>
        <v>0611863884050</v>
      </c>
      <c r="B2558" s="10" t="str">
        <f>"CR3739"</f>
        <v>CR3739</v>
      </c>
      <c r="C2558" s="10" t="s">
        <v>2531</v>
      </c>
    </row>
    <row r="2559" spans="1:3" s="10" customFormat="1" x14ac:dyDescent="0.25">
      <c r="A2559" s="10" t="str">
        <f>"0611863885050"</f>
        <v>0611863885050</v>
      </c>
      <c r="B2559" s="10" t="str">
        <f>"CR3740"</f>
        <v>CR3740</v>
      </c>
      <c r="C2559" s="10" t="s">
        <v>2532</v>
      </c>
    </row>
    <row r="2560" spans="1:3" s="10" customFormat="1" x14ac:dyDescent="0.25">
      <c r="A2560" s="10" t="str">
        <f>"0611863886050"</f>
        <v>0611863886050</v>
      </c>
      <c r="B2560" s="10" t="str">
        <f>"CR3741"</f>
        <v>CR3741</v>
      </c>
      <c r="C2560" s="10" t="s">
        <v>2533</v>
      </c>
    </row>
    <row r="2561" spans="1:3" s="10" customFormat="1" x14ac:dyDescent="0.25">
      <c r="A2561" s="10" t="str">
        <f>"0611863887050"</f>
        <v>0611863887050</v>
      </c>
      <c r="B2561" s="10" t="str">
        <f>"CR5012"</f>
        <v>CR5012</v>
      </c>
      <c r="C2561" s="10" t="s">
        <v>2534</v>
      </c>
    </row>
    <row r="2562" spans="1:3" s="10" customFormat="1" x14ac:dyDescent="0.25">
      <c r="A2562" s="10" t="str">
        <f>"0611863888050"</f>
        <v>0611863888050</v>
      </c>
      <c r="B2562" s="10" t="str">
        <f>"CR2529"</f>
        <v>CR2529</v>
      </c>
      <c r="C2562" s="10" t="s">
        <v>2535</v>
      </c>
    </row>
    <row r="2563" spans="1:3" s="10" customFormat="1" x14ac:dyDescent="0.25">
      <c r="A2563" s="10" t="str">
        <f>"0611863889100"</f>
        <v>0611863889100</v>
      </c>
      <c r="B2563" s="10" t="str">
        <f>"CN2239"</f>
        <v>CN2239</v>
      </c>
      <c r="C2563" s="10" t="s">
        <v>2536</v>
      </c>
    </row>
    <row r="2564" spans="1:3" s="10" customFormat="1" x14ac:dyDescent="0.25">
      <c r="A2564" s="10" t="str">
        <f>"0611863890100"</f>
        <v>0611863890100</v>
      </c>
      <c r="B2564" s="10" t="str">
        <f>"CN2240"</f>
        <v>CN2240</v>
      </c>
      <c r="C2564" s="10" t="s">
        <v>2537</v>
      </c>
    </row>
    <row r="2565" spans="1:3" s="10" customFormat="1" x14ac:dyDescent="0.25">
      <c r="A2565" s="10" t="str">
        <f>"0611862553100"</f>
        <v>0611862553100</v>
      </c>
      <c r="B2565" s="10" t="str">
        <f>"CN5348"</f>
        <v>CN5348</v>
      </c>
      <c r="C2565" s="10" t="s">
        <v>2538</v>
      </c>
    </row>
    <row r="2566" spans="1:3" s="10" customFormat="1" x14ac:dyDescent="0.25">
      <c r="A2566" s="10" t="str">
        <f>"0611862555100"</f>
        <v>0611862555100</v>
      </c>
      <c r="B2566" s="10" t="str">
        <f>"CN5349"</f>
        <v>CN5349</v>
      </c>
      <c r="C2566" s="10" t="s">
        <v>2539</v>
      </c>
    </row>
    <row r="2567" spans="1:3" s="10" customFormat="1" x14ac:dyDescent="0.25">
      <c r="A2567" s="10" t="str">
        <f>"0611862557100"</f>
        <v>0611862557100</v>
      </c>
      <c r="B2567" s="10" t="str">
        <f>"CN5350"</f>
        <v>CN5350</v>
      </c>
      <c r="C2567" s="10" t="s">
        <v>2540</v>
      </c>
    </row>
    <row r="2568" spans="1:3" s="10" customFormat="1" x14ac:dyDescent="0.25">
      <c r="A2568" s="10" t="str">
        <f>"0611893661100"</f>
        <v>0611893661100</v>
      </c>
      <c r="B2568" s="10" t="str">
        <f>"CN5461"</f>
        <v>CN5461</v>
      </c>
      <c r="C2568" s="10" t="s">
        <v>2541</v>
      </c>
    </row>
    <row r="2569" spans="1:3" s="10" customFormat="1" x14ac:dyDescent="0.25">
      <c r="A2569" s="10" t="str">
        <f>"0611862558100"</f>
        <v>0611862558100</v>
      </c>
      <c r="B2569" s="10" t="str">
        <f>"CN5351"</f>
        <v>CN5351</v>
      </c>
      <c r="C2569" s="10" t="s">
        <v>2542</v>
      </c>
    </row>
    <row r="2570" spans="1:3" s="10" customFormat="1" x14ac:dyDescent="0.25">
      <c r="A2570" s="10" t="str">
        <f>"0611863929100"</f>
        <v>0611863929100</v>
      </c>
      <c r="B2570" s="10" t="str">
        <f>"CN5368"</f>
        <v>CN5368</v>
      </c>
      <c r="C2570" s="10" t="s">
        <v>2543</v>
      </c>
    </row>
    <row r="2571" spans="1:3" s="10" customFormat="1" x14ac:dyDescent="0.25">
      <c r="A2571" s="10" t="str">
        <f>"0611863892050"</f>
        <v>0611863892050</v>
      </c>
      <c r="B2571" s="10" t="str">
        <f>"CR4608"</f>
        <v>CR4608</v>
      </c>
      <c r="C2571" s="10" t="s">
        <v>2544</v>
      </c>
    </row>
    <row r="2572" spans="1:3" s="10" customFormat="1" x14ac:dyDescent="0.25">
      <c r="A2572" s="10" t="str">
        <f>"0611863893050"</f>
        <v>0611863893050</v>
      </c>
      <c r="B2572" s="10" t="str">
        <f>"CR4622"</f>
        <v>CR4622</v>
      </c>
      <c r="C2572" s="10" t="s">
        <v>2545</v>
      </c>
    </row>
    <row r="2573" spans="1:3" s="10" customFormat="1" x14ac:dyDescent="0.25">
      <c r="A2573" s="10" t="str">
        <f>"0611863894050"</f>
        <v>0611863894050</v>
      </c>
      <c r="B2573" s="10" t="str">
        <f>"CR4623"</f>
        <v>CR4623</v>
      </c>
      <c r="C2573" s="10" t="s">
        <v>2546</v>
      </c>
    </row>
    <row r="2574" spans="1:3" s="10" customFormat="1" x14ac:dyDescent="0.25">
      <c r="A2574" s="10" t="str">
        <f>"0611863895050"</f>
        <v>0611863895050</v>
      </c>
      <c r="B2574" s="10" t="str">
        <f>"CR4621"</f>
        <v>CR4621</v>
      </c>
      <c r="C2574" s="10" t="s">
        <v>2547</v>
      </c>
    </row>
    <row r="2575" spans="1:3" s="10" customFormat="1" x14ac:dyDescent="0.25">
      <c r="A2575" s="10" t="str">
        <f>"0611863896050"</f>
        <v>0611863896050</v>
      </c>
      <c r="B2575" s="10" t="str">
        <f>"CR4620"</f>
        <v>CR4620</v>
      </c>
      <c r="C2575" s="10" t="s">
        <v>2548</v>
      </c>
    </row>
    <row r="2576" spans="1:3" s="10" customFormat="1" x14ac:dyDescent="0.25">
      <c r="A2576" s="10" t="str">
        <f>"0611863897050"</f>
        <v>0611863897050</v>
      </c>
      <c r="B2576" s="10" t="str">
        <f>"CR4890"</f>
        <v>CR4890</v>
      </c>
      <c r="C2576" s="10" t="s">
        <v>2549</v>
      </c>
    </row>
    <row r="2577" spans="1:3" s="10" customFormat="1" x14ac:dyDescent="0.25">
      <c r="A2577" s="10" t="str">
        <f>"0611863898050"</f>
        <v>0611863898050</v>
      </c>
      <c r="B2577" s="10" t="str">
        <f>"CR4624"</f>
        <v>CR4624</v>
      </c>
      <c r="C2577" s="10" t="s">
        <v>2550</v>
      </c>
    </row>
    <row r="2578" spans="1:3" s="10" customFormat="1" x14ac:dyDescent="0.25">
      <c r="A2578" s="10" t="str">
        <f>"0611863899050"</f>
        <v>0611863899050</v>
      </c>
      <c r="B2578" s="10" t="str">
        <f>"CR4900"</f>
        <v>CR4900</v>
      </c>
      <c r="C2578" s="10" t="s">
        <v>2551</v>
      </c>
    </row>
    <row r="2579" spans="1:3" s="10" customFormat="1" x14ac:dyDescent="0.25">
      <c r="A2579" s="10" t="str">
        <f>"0611884421050"</f>
        <v>0611884421050</v>
      </c>
      <c r="B2579" s="10" t="str">
        <f>"CR5291"</f>
        <v>CR5291</v>
      </c>
      <c r="C2579" s="10" t="s">
        <v>2552</v>
      </c>
    </row>
    <row r="2580" spans="1:3" s="10" customFormat="1" x14ac:dyDescent="0.25">
      <c r="A2580" s="10" t="str">
        <f>"0611884422050"</f>
        <v>0611884422050</v>
      </c>
      <c r="B2580" s="10" t="str">
        <f>"CR5292"</f>
        <v>CR5292</v>
      </c>
      <c r="C2580" s="10" t="s">
        <v>2553</v>
      </c>
    </row>
    <row r="2581" spans="1:3" s="10" customFormat="1" x14ac:dyDescent="0.25">
      <c r="A2581" s="10" t="str">
        <f>"0611863901050"</f>
        <v>0611863901050</v>
      </c>
      <c r="B2581" s="10" t="str">
        <f>"CR4892"</f>
        <v>CR4892</v>
      </c>
      <c r="C2581" s="10" t="s">
        <v>2554</v>
      </c>
    </row>
    <row r="2582" spans="1:3" s="10" customFormat="1" x14ac:dyDescent="0.25">
      <c r="A2582" s="10" t="str">
        <f>"0611863902050"</f>
        <v>0611863902050</v>
      </c>
      <c r="B2582" s="10" t="str">
        <f>"CR4609"</f>
        <v>CR4609</v>
      </c>
      <c r="C2582" s="10" t="s">
        <v>2555</v>
      </c>
    </row>
    <row r="2583" spans="1:3" s="10" customFormat="1" x14ac:dyDescent="0.25">
      <c r="A2583" s="10" t="str">
        <f>"0611884423050"</f>
        <v>0611884423050</v>
      </c>
      <c r="B2583" s="10" t="str">
        <f>"CR5293"</f>
        <v>CR5293</v>
      </c>
      <c r="C2583" s="10" t="s">
        <v>2556</v>
      </c>
    </row>
    <row r="2584" spans="1:3" s="10" customFormat="1" x14ac:dyDescent="0.25">
      <c r="A2584" s="10" t="str">
        <f>"0611863903050"</f>
        <v>0611863903050</v>
      </c>
      <c r="B2584" s="10" t="str">
        <f>"CR4619"</f>
        <v>CR4619</v>
      </c>
      <c r="C2584" s="10" t="s">
        <v>2557</v>
      </c>
    </row>
    <row r="2585" spans="1:3" s="10" customFormat="1" x14ac:dyDescent="0.25">
      <c r="A2585" s="10" t="str">
        <f>"0611884424050"</f>
        <v>0611884424050</v>
      </c>
      <c r="B2585" s="10" t="str">
        <f>"CR5294"</f>
        <v>CR5294</v>
      </c>
      <c r="C2585" s="10" t="s">
        <v>2558</v>
      </c>
    </row>
    <row r="2586" spans="1:3" s="10" customFormat="1" x14ac:dyDescent="0.25">
      <c r="A2586" s="10" t="str">
        <f>"0611863904050"</f>
        <v>0611863904050</v>
      </c>
      <c r="B2586" s="10" t="str">
        <f>"CR4612"</f>
        <v>CR4612</v>
      </c>
      <c r="C2586" s="10" t="s">
        <v>2559</v>
      </c>
    </row>
    <row r="2587" spans="1:3" s="10" customFormat="1" x14ac:dyDescent="0.25">
      <c r="A2587" s="10" t="str">
        <f>"0611863905050"</f>
        <v>0611863905050</v>
      </c>
      <c r="B2587" s="10" t="str">
        <f>"CR4613"</f>
        <v>CR4613</v>
      </c>
      <c r="C2587" s="10" t="s">
        <v>2560</v>
      </c>
    </row>
    <row r="2588" spans="1:3" s="10" customFormat="1" x14ac:dyDescent="0.25">
      <c r="A2588" s="10" t="str">
        <f>"0611884425050"</f>
        <v>0611884425050</v>
      </c>
      <c r="B2588" s="10" t="str">
        <f>"CR5295"</f>
        <v>CR5295</v>
      </c>
      <c r="C2588" s="10" t="s">
        <v>2561</v>
      </c>
    </row>
    <row r="2589" spans="1:3" s="10" customFormat="1" x14ac:dyDescent="0.25">
      <c r="A2589" s="10" t="str">
        <f>"0611863906050"</f>
        <v>0611863906050</v>
      </c>
      <c r="B2589" s="10" t="str">
        <f>"CR4615"</f>
        <v>CR4615</v>
      </c>
      <c r="C2589" s="10" t="s">
        <v>2562</v>
      </c>
    </row>
    <row r="2590" spans="1:3" s="10" customFormat="1" x14ac:dyDescent="0.25">
      <c r="A2590" s="10" t="str">
        <f>"0611884426050"</f>
        <v>0611884426050</v>
      </c>
      <c r="B2590" s="10" t="str">
        <f>"CR5296"</f>
        <v>CR5296</v>
      </c>
      <c r="C2590" s="10" t="s">
        <v>2563</v>
      </c>
    </row>
    <row r="2591" spans="1:3" s="10" customFormat="1" x14ac:dyDescent="0.25">
      <c r="A2591" s="10" t="str">
        <f>"0611884427050"</f>
        <v>0611884427050</v>
      </c>
      <c r="B2591" s="10" t="str">
        <f>"CR5297"</f>
        <v>CR5297</v>
      </c>
      <c r="C2591" s="10" t="s">
        <v>2564</v>
      </c>
    </row>
    <row r="2592" spans="1:3" s="10" customFormat="1" x14ac:dyDescent="0.25">
      <c r="A2592" s="10" t="str">
        <f>"0611884428050"</f>
        <v>0611884428050</v>
      </c>
      <c r="B2592" s="10" t="str">
        <f>"CR5298"</f>
        <v>CR5298</v>
      </c>
      <c r="C2592" s="10" t="s">
        <v>2565</v>
      </c>
    </row>
    <row r="2593" spans="1:3" s="10" customFormat="1" x14ac:dyDescent="0.25">
      <c r="A2593" s="10" t="str">
        <f>"0611863907050"</f>
        <v>0611863907050</v>
      </c>
      <c r="B2593" s="10" t="str">
        <f>"CR4614"</f>
        <v>CR4614</v>
      </c>
      <c r="C2593" s="10" t="s">
        <v>2566</v>
      </c>
    </row>
    <row r="2594" spans="1:3" s="10" customFormat="1" x14ac:dyDescent="0.25">
      <c r="A2594" s="10" t="str">
        <f>"0611884429050"</f>
        <v>0611884429050</v>
      </c>
      <c r="B2594" s="10" t="str">
        <f>"CR5299"</f>
        <v>CR5299</v>
      </c>
      <c r="C2594" s="10" t="s">
        <v>2567</v>
      </c>
    </row>
    <row r="2595" spans="1:3" s="10" customFormat="1" x14ac:dyDescent="0.25">
      <c r="A2595" s="10" t="str">
        <f>"0611863908050"</f>
        <v>0611863908050</v>
      </c>
      <c r="B2595" s="10" t="str">
        <f>"CR4616"</f>
        <v>CR4616</v>
      </c>
      <c r="C2595" s="10" t="s">
        <v>2568</v>
      </c>
    </row>
    <row r="2596" spans="1:3" s="10" customFormat="1" x14ac:dyDescent="0.25">
      <c r="A2596" s="10" t="str">
        <f>"0611863909050"</f>
        <v>0611863909050</v>
      </c>
      <c r="B2596" s="10" t="str">
        <f>"CR4899"</f>
        <v>CR4899</v>
      </c>
      <c r="C2596" s="10" t="s">
        <v>2569</v>
      </c>
    </row>
    <row r="2597" spans="1:3" s="10" customFormat="1" x14ac:dyDescent="0.25">
      <c r="A2597" s="10" t="str">
        <f>"0611863910050"</f>
        <v>0611863910050</v>
      </c>
      <c r="B2597" s="10" t="str">
        <f>"CR4617"</f>
        <v>CR4617</v>
      </c>
      <c r="C2597" s="10" t="s">
        <v>2570</v>
      </c>
    </row>
    <row r="2598" spans="1:3" s="10" customFormat="1" x14ac:dyDescent="0.25">
      <c r="A2598" s="10" t="str">
        <f>"0611863911050"</f>
        <v>0611863911050</v>
      </c>
      <c r="B2598" s="10" t="str">
        <f>"CR4618"</f>
        <v>CR4618</v>
      </c>
      <c r="C2598" s="10" t="s">
        <v>2571</v>
      </c>
    </row>
    <row r="2599" spans="1:3" s="10" customFormat="1" x14ac:dyDescent="0.25">
      <c r="A2599" s="10" t="str">
        <f>"0611863912050"</f>
        <v>0611863912050</v>
      </c>
      <c r="B2599" s="10" t="str">
        <f>"CR4893"</f>
        <v>CR4893</v>
      </c>
      <c r="C2599" s="10" t="s">
        <v>2572</v>
      </c>
    </row>
    <row r="2600" spans="1:3" s="10" customFormat="1" x14ac:dyDescent="0.25">
      <c r="A2600" s="10" t="str">
        <f>"0611863913050"</f>
        <v>0611863913050</v>
      </c>
      <c r="B2600" s="10" t="str">
        <f>"CR5066"</f>
        <v>CR5066</v>
      </c>
      <c r="C2600" s="10" t="s">
        <v>2573</v>
      </c>
    </row>
    <row r="2601" spans="1:3" s="10" customFormat="1" x14ac:dyDescent="0.25">
      <c r="A2601" s="10" t="str">
        <f>"0611863914050"</f>
        <v>0611863914050</v>
      </c>
      <c r="B2601" s="10" t="str">
        <f>"CR4894"</f>
        <v>CR4894</v>
      </c>
      <c r="C2601" s="10" t="s">
        <v>2574</v>
      </c>
    </row>
    <row r="2602" spans="1:3" s="10" customFormat="1" x14ac:dyDescent="0.25">
      <c r="A2602" s="10" t="str">
        <f>"0611863915050"</f>
        <v>0611863915050</v>
      </c>
      <c r="B2602" s="10" t="str">
        <f>"CR4895"</f>
        <v>CR4895</v>
      </c>
      <c r="C2602" s="10" t="s">
        <v>2575</v>
      </c>
    </row>
    <row r="2603" spans="1:3" s="10" customFormat="1" x14ac:dyDescent="0.25">
      <c r="A2603" s="10" t="str">
        <f>"0611863916050"</f>
        <v>0611863916050</v>
      </c>
      <c r="B2603" s="10" t="str">
        <f>"CR4896"</f>
        <v>CR4896</v>
      </c>
      <c r="C2603" s="10" t="s">
        <v>2576</v>
      </c>
    </row>
    <row r="2604" spans="1:3" s="10" customFormat="1" x14ac:dyDescent="0.25">
      <c r="A2604" s="10" t="str">
        <f>"0611863917050"</f>
        <v>0611863917050</v>
      </c>
      <c r="B2604" s="10" t="str">
        <f>"CR4610"</f>
        <v>CR4610</v>
      </c>
      <c r="C2604" s="10" t="s">
        <v>2577</v>
      </c>
    </row>
    <row r="2605" spans="1:3" s="10" customFormat="1" x14ac:dyDescent="0.25">
      <c r="A2605" s="10" t="str">
        <f>"0611863918050"</f>
        <v>0611863918050</v>
      </c>
      <c r="B2605" s="10" t="str">
        <f>"CR4611"</f>
        <v>CR4611</v>
      </c>
      <c r="C2605" s="10" t="s">
        <v>2578</v>
      </c>
    </row>
    <row r="2606" spans="1:3" s="10" customFormat="1" x14ac:dyDescent="0.25">
      <c r="A2606" s="10" t="str">
        <f>"0611884430050"</f>
        <v>0611884430050</v>
      </c>
      <c r="B2606" s="10" t="str">
        <f>"CR5301"</f>
        <v>CR5301</v>
      </c>
      <c r="C2606" s="10" t="s">
        <v>2579</v>
      </c>
    </row>
    <row r="2607" spans="1:3" s="10" customFormat="1" x14ac:dyDescent="0.25">
      <c r="A2607" s="10" t="str">
        <f>"0611884431050"</f>
        <v>0611884431050</v>
      </c>
      <c r="B2607" s="10" t="str">
        <f>"CR5302"</f>
        <v>CR5302</v>
      </c>
      <c r="C2607" s="10" t="s">
        <v>2580</v>
      </c>
    </row>
    <row r="2608" spans="1:3" s="10" customFormat="1" x14ac:dyDescent="0.25">
      <c r="A2608" s="10" t="str">
        <f>"0611884432050"</f>
        <v>0611884432050</v>
      </c>
      <c r="B2608" s="10" t="str">
        <f>"CR5304"</f>
        <v>CR5304</v>
      </c>
      <c r="C2608" s="10" t="s">
        <v>2581</v>
      </c>
    </row>
    <row r="2609" spans="1:3" s="10" customFormat="1" x14ac:dyDescent="0.25">
      <c r="A2609" s="10" t="str">
        <f>"0611884433050"</f>
        <v>0611884433050</v>
      </c>
      <c r="B2609" s="10" t="str">
        <f>"CR5305"</f>
        <v>CR5305</v>
      </c>
      <c r="C2609" s="10" t="s">
        <v>2582</v>
      </c>
    </row>
    <row r="2610" spans="1:3" s="10" customFormat="1" x14ac:dyDescent="0.25">
      <c r="A2610" s="10" t="str">
        <f>"0611863919050"</f>
        <v>0611863919050</v>
      </c>
      <c r="B2610" s="10" t="str">
        <f>"CR4897"</f>
        <v>CR4897</v>
      </c>
      <c r="C2610" s="10" t="s">
        <v>2583</v>
      </c>
    </row>
    <row r="2611" spans="1:3" s="10" customFormat="1" x14ac:dyDescent="0.25">
      <c r="A2611" s="10" t="str">
        <f>"0611863920050"</f>
        <v>0611863920050</v>
      </c>
      <c r="B2611" s="10" t="str">
        <f>"CR4625"</f>
        <v>CR4625</v>
      </c>
      <c r="C2611" s="10" t="s">
        <v>2584</v>
      </c>
    </row>
    <row r="2612" spans="1:3" s="10" customFormat="1" x14ac:dyDescent="0.25">
      <c r="A2612" s="10" t="str">
        <f>"0611863921050"</f>
        <v>0611863921050</v>
      </c>
      <c r="B2612" s="10" t="str">
        <f>"CR4626"</f>
        <v>CR4626</v>
      </c>
      <c r="C2612" s="10" t="s">
        <v>2585</v>
      </c>
    </row>
    <row r="2613" spans="1:3" s="10" customFormat="1" x14ac:dyDescent="0.25">
      <c r="A2613" s="10" t="str">
        <f>"0611863922050"</f>
        <v>0611863922050</v>
      </c>
      <c r="B2613" s="10" t="str">
        <f>"CR4627"</f>
        <v>CR4627</v>
      </c>
      <c r="C2613" s="10" t="s">
        <v>2586</v>
      </c>
    </row>
    <row r="2614" spans="1:3" s="10" customFormat="1" x14ac:dyDescent="0.25">
      <c r="A2614" s="10" t="str">
        <f>"0611863923050"</f>
        <v>0611863923050</v>
      </c>
      <c r="B2614" s="10" t="str">
        <f>"CR4628"</f>
        <v>CR4628</v>
      </c>
      <c r="C2614" s="10" t="s">
        <v>2587</v>
      </c>
    </row>
    <row r="2615" spans="1:3" s="10" customFormat="1" x14ac:dyDescent="0.25">
      <c r="A2615" s="10" t="str">
        <f>"0611863924050"</f>
        <v>0611863924050</v>
      </c>
      <c r="B2615" s="10" t="str">
        <f>"CR4629"</f>
        <v>CR4629</v>
      </c>
      <c r="C2615" s="10" t="s">
        <v>2588</v>
      </c>
    </row>
    <row r="2616" spans="1:3" s="10" customFormat="1" x14ac:dyDescent="0.25">
      <c r="A2616" s="10" t="str">
        <f>"0611863925050"</f>
        <v>0611863925050</v>
      </c>
      <c r="B2616" s="10" t="str">
        <f>"CR4630"</f>
        <v>CR4630</v>
      </c>
      <c r="C2616" s="10" t="s">
        <v>2589</v>
      </c>
    </row>
    <row r="2617" spans="1:3" s="10" customFormat="1" x14ac:dyDescent="0.25">
      <c r="A2617" s="10" t="str">
        <f>"0611863926050"</f>
        <v>0611863926050</v>
      </c>
      <c r="B2617" s="10" t="str">
        <f>"CR4631"</f>
        <v>CR4631</v>
      </c>
      <c r="C2617" s="10" t="s">
        <v>2590</v>
      </c>
    </row>
    <row r="2618" spans="1:3" s="10" customFormat="1" x14ac:dyDescent="0.25">
      <c r="A2618" s="10" t="str">
        <f>"0611863927050"</f>
        <v>0611863927050</v>
      </c>
      <c r="B2618" s="10" t="str">
        <f>"CR4632"</f>
        <v>CR4632</v>
      </c>
      <c r="C2618" s="10" t="s">
        <v>2591</v>
      </c>
    </row>
    <row r="2619" spans="1:3" s="10" customFormat="1" x14ac:dyDescent="0.25">
      <c r="A2619" s="10" t="str">
        <f>"0611863928050"</f>
        <v>0611863928050</v>
      </c>
      <c r="B2619" s="10" t="str">
        <f>"CR4898"</f>
        <v>CR4898</v>
      </c>
      <c r="C2619" s="10" t="s">
        <v>2592</v>
      </c>
    </row>
    <row r="2620" spans="1:3" s="10" customFormat="1" x14ac:dyDescent="0.25">
      <c r="A2620" s="10" t="str">
        <f>"0611863931050"</f>
        <v>0611863931050</v>
      </c>
      <c r="B2620" s="10" t="str">
        <f>"CR3007"</f>
        <v>CR3007</v>
      </c>
      <c r="C2620" s="10" t="s">
        <v>2593</v>
      </c>
    </row>
    <row r="2621" spans="1:3" s="10" customFormat="1" x14ac:dyDescent="0.25">
      <c r="A2621" s="10" t="str">
        <f>"0611863932100"</f>
        <v>0611863932100</v>
      </c>
      <c r="B2621" s="10" t="str">
        <f>"CN5358"</f>
        <v>CN5358</v>
      </c>
      <c r="C2621" s="10" t="s">
        <v>2594</v>
      </c>
    </row>
    <row r="2622" spans="1:3" s="10" customFormat="1" x14ac:dyDescent="0.25">
      <c r="A2622" s="10" t="str">
        <f>"0611863933100"</f>
        <v>0611863933100</v>
      </c>
      <c r="B2622" s="10" t="str">
        <f>"CN5359"</f>
        <v>CN5359</v>
      </c>
      <c r="C2622" s="10" t="s">
        <v>2595</v>
      </c>
    </row>
    <row r="2623" spans="1:3" s="10" customFormat="1" x14ac:dyDescent="0.25">
      <c r="A2623" s="10" t="str">
        <f>"0611863935050"</f>
        <v>0611863935050</v>
      </c>
      <c r="B2623" s="10" t="str">
        <f>"CR5013"</f>
        <v>CR5013</v>
      </c>
      <c r="C2623" s="10" t="s">
        <v>2596</v>
      </c>
    </row>
    <row r="2624" spans="1:3" s="10" customFormat="1" x14ac:dyDescent="0.25">
      <c r="A2624" s="10" t="str">
        <f>"0611863936100"</f>
        <v>0611863936100</v>
      </c>
      <c r="B2624" s="10" t="str">
        <f>"CN5360"</f>
        <v>CN5360</v>
      </c>
      <c r="C2624" s="10" t="s">
        <v>2597</v>
      </c>
    </row>
    <row r="2625" spans="1:3" s="10" customFormat="1" x14ac:dyDescent="0.25">
      <c r="A2625" s="10" t="str">
        <f>"0611863938100"</f>
        <v>0611863938100</v>
      </c>
      <c r="B2625" s="10" t="str">
        <f>"CN5361"</f>
        <v>CN5361</v>
      </c>
      <c r="C2625" s="10" t="s">
        <v>2598</v>
      </c>
    </row>
    <row r="2626" spans="1:3" s="10" customFormat="1" x14ac:dyDescent="0.25">
      <c r="A2626" s="10" t="str">
        <f>"0611893662100"</f>
        <v>0611893662100</v>
      </c>
      <c r="B2626" s="10" t="str">
        <f>"CN5450"</f>
        <v>CN5450</v>
      </c>
      <c r="C2626" s="10" t="s">
        <v>2599</v>
      </c>
    </row>
    <row r="2627" spans="1:3" s="10" customFormat="1" x14ac:dyDescent="0.25">
      <c r="A2627" s="10" t="str">
        <f>"0611893663100"</f>
        <v>0611893663100</v>
      </c>
      <c r="B2627" s="10" t="str">
        <f>"CN5454"</f>
        <v>CN5454</v>
      </c>
      <c r="C2627" s="10" t="s">
        <v>2600</v>
      </c>
    </row>
    <row r="2628" spans="1:3" s="10" customFormat="1" x14ac:dyDescent="0.25">
      <c r="A2628" s="10" t="str">
        <f>"0611863939100"</f>
        <v>0611863939100</v>
      </c>
      <c r="B2628" s="10" t="str">
        <f>"CN5362"</f>
        <v>CN5362</v>
      </c>
      <c r="C2628" s="10" t="s">
        <v>2601</v>
      </c>
    </row>
    <row r="2629" spans="1:3" s="10" customFormat="1" x14ac:dyDescent="0.25">
      <c r="A2629" s="10" t="str">
        <f>"0611863940100"</f>
        <v>0611863940100</v>
      </c>
      <c r="B2629" s="10" t="str">
        <f>"CN5352"</f>
        <v>CN5352</v>
      </c>
      <c r="C2629" s="10" t="s">
        <v>2602</v>
      </c>
    </row>
    <row r="2630" spans="1:3" s="10" customFormat="1" x14ac:dyDescent="0.25">
      <c r="A2630" s="10" t="str">
        <f>"0611863941050"</f>
        <v>0611863941050</v>
      </c>
      <c r="B2630" s="10" t="str">
        <f>"CR4452"</f>
        <v>CR4452</v>
      </c>
      <c r="C2630" s="10" t="s">
        <v>2603</v>
      </c>
    </row>
    <row r="2631" spans="1:3" s="10" customFormat="1" x14ac:dyDescent="0.25">
      <c r="A2631" s="10" t="str">
        <f>"0611863942050"</f>
        <v>0611863942050</v>
      </c>
      <c r="B2631" s="10" t="str">
        <f>"CR3033"</f>
        <v>CR3033</v>
      </c>
      <c r="C2631" s="10" t="s">
        <v>2604</v>
      </c>
    </row>
    <row r="2632" spans="1:3" s="10" customFormat="1" x14ac:dyDescent="0.25">
      <c r="A2632" s="10" t="str">
        <f>"0611863943050"</f>
        <v>0611863943050</v>
      </c>
      <c r="B2632" s="10" t="str">
        <f>"CR3009"</f>
        <v>CR3009</v>
      </c>
      <c r="C2632" s="10" t="s">
        <v>2605</v>
      </c>
    </row>
    <row r="2633" spans="1:3" s="10" customFormat="1" x14ac:dyDescent="0.25">
      <c r="A2633" s="10" t="str">
        <f>"0611863944050"</f>
        <v>0611863944050</v>
      </c>
      <c r="B2633" s="10" t="str">
        <f>"CR3563"</f>
        <v>CR3563</v>
      </c>
      <c r="C2633" s="10" t="s">
        <v>2606</v>
      </c>
    </row>
    <row r="2634" spans="1:3" s="10" customFormat="1" x14ac:dyDescent="0.25">
      <c r="A2634" s="10" t="str">
        <f>"0611863945050"</f>
        <v>0611863945050</v>
      </c>
      <c r="B2634" s="10" t="str">
        <f>"CR3010"</f>
        <v>CR3010</v>
      </c>
      <c r="C2634" s="10" t="s">
        <v>2607</v>
      </c>
    </row>
    <row r="2635" spans="1:3" s="10" customFormat="1" x14ac:dyDescent="0.25">
      <c r="A2635" s="10" t="str">
        <f>"0611863946050"</f>
        <v>0611863946050</v>
      </c>
      <c r="B2635" s="10" t="str">
        <f>"CR3257"</f>
        <v>CR3257</v>
      </c>
      <c r="C2635" s="10" t="s">
        <v>2608</v>
      </c>
    </row>
    <row r="2636" spans="1:3" s="10" customFormat="1" x14ac:dyDescent="0.25">
      <c r="A2636" s="10" t="str">
        <f>"0611863947050"</f>
        <v>0611863947050</v>
      </c>
      <c r="B2636" s="10" t="str">
        <f>"CR3012"</f>
        <v>CR3012</v>
      </c>
      <c r="C2636" s="10" t="s">
        <v>2609</v>
      </c>
    </row>
    <row r="2637" spans="1:3" s="10" customFormat="1" x14ac:dyDescent="0.25">
      <c r="A2637" s="10" t="str">
        <f>"0611863948050"</f>
        <v>0611863948050</v>
      </c>
      <c r="B2637" s="10" t="str">
        <f>"CR3013"</f>
        <v>CR3013</v>
      </c>
      <c r="C2637" s="10" t="s">
        <v>2610</v>
      </c>
    </row>
    <row r="2638" spans="1:3" s="10" customFormat="1" x14ac:dyDescent="0.25">
      <c r="A2638" s="10" t="str">
        <f>"0611884445050"</f>
        <v>0611884445050</v>
      </c>
      <c r="B2638" s="10" t="str">
        <f>"CR5397"</f>
        <v>CR5397</v>
      </c>
      <c r="C2638" s="10" t="s">
        <v>2611</v>
      </c>
    </row>
    <row r="2639" spans="1:3" s="10" customFormat="1" x14ac:dyDescent="0.25">
      <c r="A2639" s="10" t="str">
        <f>"0611863949050"</f>
        <v>0611863949050</v>
      </c>
      <c r="B2639" s="10" t="str">
        <f>"CR3564"</f>
        <v>CR3564</v>
      </c>
      <c r="C2639" s="10" t="s">
        <v>2612</v>
      </c>
    </row>
    <row r="2640" spans="1:3" s="10" customFormat="1" x14ac:dyDescent="0.25">
      <c r="A2640" s="10" t="str">
        <f>"0611884446050"</f>
        <v>0611884446050</v>
      </c>
      <c r="B2640" s="10" t="str">
        <f>"CR5398"</f>
        <v>CR5398</v>
      </c>
      <c r="C2640" s="10" t="s">
        <v>2613</v>
      </c>
    </row>
    <row r="2641" spans="1:3" s="10" customFormat="1" x14ac:dyDescent="0.25">
      <c r="A2641" s="10" t="str">
        <f>"0611863950050"</f>
        <v>0611863950050</v>
      </c>
      <c r="B2641" s="10" t="str">
        <f>"CR3565"</f>
        <v>CR3565</v>
      </c>
      <c r="C2641" s="10" t="s">
        <v>2614</v>
      </c>
    </row>
    <row r="2642" spans="1:3" s="10" customFormat="1" x14ac:dyDescent="0.25">
      <c r="A2642" s="10" t="str">
        <f>"0611863951050"</f>
        <v>0611863951050</v>
      </c>
      <c r="B2642" s="10" t="str">
        <f>"CR3566"</f>
        <v>CR3566</v>
      </c>
      <c r="C2642" s="10" t="s">
        <v>2615</v>
      </c>
    </row>
    <row r="2643" spans="1:3" s="10" customFormat="1" x14ac:dyDescent="0.25">
      <c r="A2643" s="10" t="str">
        <f>"0611863952050"</f>
        <v>0611863952050</v>
      </c>
      <c r="B2643" s="10" t="str">
        <f>"CR4450"</f>
        <v>CR4450</v>
      </c>
      <c r="C2643" s="10" t="s">
        <v>2616</v>
      </c>
    </row>
    <row r="2644" spans="1:3" s="10" customFormat="1" x14ac:dyDescent="0.25">
      <c r="A2644" s="10" t="str">
        <f>"0611863953050"</f>
        <v>0611863953050</v>
      </c>
      <c r="B2644" s="10" t="str">
        <f>"CR3567"</f>
        <v>CR3567</v>
      </c>
      <c r="C2644" s="10" t="s">
        <v>2617</v>
      </c>
    </row>
    <row r="2645" spans="1:3" s="10" customFormat="1" x14ac:dyDescent="0.25">
      <c r="A2645" s="10" t="str">
        <f>"0611863954100"</f>
        <v>0611863954100</v>
      </c>
      <c r="B2645" s="10" t="str">
        <f>"CN5363"</f>
        <v>CN5363</v>
      </c>
      <c r="C2645" s="10" t="s">
        <v>2618</v>
      </c>
    </row>
    <row r="2646" spans="1:3" s="10" customFormat="1" x14ac:dyDescent="0.25">
      <c r="A2646" s="10" t="str">
        <f>"0611863955100"</f>
        <v>0611863955100</v>
      </c>
      <c r="B2646" s="10" t="str">
        <f>"CN5371"</f>
        <v>CN5371</v>
      </c>
      <c r="C2646" s="10" t="s">
        <v>2619</v>
      </c>
    </row>
    <row r="2647" spans="1:3" s="10" customFormat="1" x14ac:dyDescent="0.25">
      <c r="A2647" s="10" t="str">
        <f>"0611863956050"</f>
        <v>0611863956050</v>
      </c>
      <c r="B2647" s="10" t="str">
        <f>"CR4454"</f>
        <v>CR4454</v>
      </c>
      <c r="C2647" s="10" t="s">
        <v>2620</v>
      </c>
    </row>
    <row r="2648" spans="1:3" s="10" customFormat="1" x14ac:dyDescent="0.25">
      <c r="A2648" s="10" t="str">
        <f>"0611863957100"</f>
        <v>0611863957100</v>
      </c>
      <c r="B2648" s="10" t="str">
        <f>"CN5364"</f>
        <v>CN5364</v>
      </c>
      <c r="C2648" s="10" t="s">
        <v>2621</v>
      </c>
    </row>
    <row r="2649" spans="1:3" s="10" customFormat="1" x14ac:dyDescent="0.25">
      <c r="A2649" s="10" t="str">
        <f>"0611863958100"</f>
        <v>0611863958100</v>
      </c>
      <c r="B2649" s="10" t="str">
        <f>"CN5365"</f>
        <v>CN5365</v>
      </c>
      <c r="C2649" s="10" t="s">
        <v>2622</v>
      </c>
    </row>
    <row r="2650" spans="1:3" s="10" customFormat="1" x14ac:dyDescent="0.25">
      <c r="A2650" s="10" t="str">
        <f>"0611893664100"</f>
        <v>0611893664100</v>
      </c>
      <c r="B2650" s="10" t="str">
        <f>"CN5451"</f>
        <v>CN5451</v>
      </c>
      <c r="C2650" s="10" t="s">
        <v>2623</v>
      </c>
    </row>
    <row r="2651" spans="1:3" s="10" customFormat="1" x14ac:dyDescent="0.25">
      <c r="A2651" s="10" t="str">
        <f>"0611893665100"</f>
        <v>0611893665100</v>
      </c>
      <c r="B2651" s="10" t="str">
        <f>"CN5453"</f>
        <v>CN5453</v>
      </c>
      <c r="C2651" s="10" t="s">
        <v>2624</v>
      </c>
    </row>
    <row r="2652" spans="1:3" s="10" customFormat="1" x14ac:dyDescent="0.25">
      <c r="A2652" s="10" t="str">
        <f>"0611863959100"</f>
        <v>0611863959100</v>
      </c>
      <c r="B2652" s="10" t="str">
        <f>"CN5369"</f>
        <v>CN5369</v>
      </c>
      <c r="C2652" s="10" t="s">
        <v>2625</v>
      </c>
    </row>
    <row r="2653" spans="1:3" s="10" customFormat="1" x14ac:dyDescent="0.25">
      <c r="A2653" s="10" t="str">
        <f>"0611863961100"</f>
        <v>0611863961100</v>
      </c>
      <c r="B2653" s="10" t="str">
        <f>"CN5353"</f>
        <v>CN5353</v>
      </c>
      <c r="C2653" s="10" t="s">
        <v>2626</v>
      </c>
    </row>
    <row r="2654" spans="1:3" s="10" customFormat="1" x14ac:dyDescent="0.25">
      <c r="A2654" s="10" t="str">
        <f>"0611863962100"</f>
        <v>0611863962100</v>
      </c>
      <c r="B2654" s="10" t="str">
        <f>"CN5354"</f>
        <v>CN5354</v>
      </c>
      <c r="C2654" s="10" t="s">
        <v>2627</v>
      </c>
    </row>
    <row r="2655" spans="1:3" s="10" customFormat="1" x14ac:dyDescent="0.25">
      <c r="A2655" s="10" t="str">
        <f>"0611863963050"</f>
        <v>0611863963050</v>
      </c>
      <c r="B2655" s="10" t="str">
        <f>"CR3834"</f>
        <v>CR3834</v>
      </c>
      <c r="C2655" s="10" t="s">
        <v>2628</v>
      </c>
    </row>
    <row r="2656" spans="1:3" s="10" customFormat="1" x14ac:dyDescent="0.25">
      <c r="A2656" s="10" t="str">
        <f>"0611863964100"</f>
        <v>0611863964100</v>
      </c>
      <c r="B2656" s="10" t="str">
        <f>"CN5355"</f>
        <v>CN5355</v>
      </c>
      <c r="C2656" s="10" t="s">
        <v>2629</v>
      </c>
    </row>
    <row r="2657" spans="1:3" s="10" customFormat="1" x14ac:dyDescent="0.25">
      <c r="A2657" s="10" t="str">
        <f>"0611863965100"</f>
        <v>0611863965100</v>
      </c>
      <c r="B2657" s="10" t="str">
        <f>"CN5356"</f>
        <v>CN5356</v>
      </c>
      <c r="C2657" s="10" t="s">
        <v>2630</v>
      </c>
    </row>
    <row r="2658" spans="1:3" s="10" customFormat="1" x14ac:dyDescent="0.25">
      <c r="A2658" s="10" t="str">
        <f>"0611893666100"</f>
        <v>0611893666100</v>
      </c>
      <c r="B2658" s="10" t="str">
        <f>"CN5452"</f>
        <v>CN5452</v>
      </c>
      <c r="C2658" s="10" t="s">
        <v>2631</v>
      </c>
    </row>
    <row r="2659" spans="1:3" s="10" customFormat="1" x14ac:dyDescent="0.25">
      <c r="A2659" s="10" t="str">
        <f>"0611863966050"</f>
        <v>0611863966050</v>
      </c>
      <c r="B2659" s="10" t="str">
        <f>"CR3837"</f>
        <v>CR3837</v>
      </c>
      <c r="C2659" s="10" t="s">
        <v>2632</v>
      </c>
    </row>
    <row r="2660" spans="1:3" s="10" customFormat="1" x14ac:dyDescent="0.25">
      <c r="A2660" s="10" t="str">
        <f>"0611863967100"</f>
        <v>0611863967100</v>
      </c>
      <c r="B2660" s="10" t="str">
        <f>"CN5357"</f>
        <v>CN5357</v>
      </c>
      <c r="C2660" s="10" t="s">
        <v>2633</v>
      </c>
    </row>
    <row r="2661" spans="1:3" s="10" customFormat="1" x14ac:dyDescent="0.25">
      <c r="A2661" s="10" t="str">
        <f>"0611863968050"</f>
        <v>0611863968050</v>
      </c>
      <c r="B2661" s="10" t="str">
        <f>"CR4447"</f>
        <v>CR4447</v>
      </c>
      <c r="C2661" s="10" t="s">
        <v>2634</v>
      </c>
    </row>
    <row r="2662" spans="1:3" s="10" customFormat="1" x14ac:dyDescent="0.25">
      <c r="A2662" s="10" t="str">
        <f>"0611863969100"</f>
        <v>0611863969100</v>
      </c>
      <c r="B2662" s="10" t="str">
        <f>"CN5366"</f>
        <v>CN5366</v>
      </c>
      <c r="C2662" s="10" t="s">
        <v>2635</v>
      </c>
    </row>
    <row r="2663" spans="1:3" s="10" customFormat="1" x14ac:dyDescent="0.25">
      <c r="A2663" s="10" t="str">
        <f>"0611863970100"</f>
        <v>0611863970100</v>
      </c>
      <c r="B2663" s="10" t="str">
        <f>"CN5367"</f>
        <v>CN5367</v>
      </c>
      <c r="C2663" s="10" t="s">
        <v>2636</v>
      </c>
    </row>
    <row r="2664" spans="1:3" s="10" customFormat="1" x14ac:dyDescent="0.25">
      <c r="A2664" s="10" t="str">
        <f>"0611893667100"</f>
        <v>0611893667100</v>
      </c>
      <c r="B2664" s="10" t="str">
        <f>"CN5444"</f>
        <v>CN5444</v>
      </c>
      <c r="C2664" s="10" t="s">
        <v>2637</v>
      </c>
    </row>
    <row r="2665" spans="1:3" s="10" customFormat="1" x14ac:dyDescent="0.25">
      <c r="A2665" s="10" t="str">
        <f>"0611863971100"</f>
        <v>0611863971100</v>
      </c>
      <c r="B2665" s="10" t="str">
        <f>"CN5370"</f>
        <v>CN5370</v>
      </c>
      <c r="C2665" s="10" t="s">
        <v>2638</v>
      </c>
    </row>
    <row r="2666" spans="1:3" s="10" customFormat="1" x14ac:dyDescent="0.25">
      <c r="A2666" s="10" t="str">
        <f>"0611863974050"</f>
        <v>0611863974050</v>
      </c>
      <c r="B2666" s="10" t="str">
        <f>"CR3917"</f>
        <v>CR3917</v>
      </c>
      <c r="C2666" s="10" t="s">
        <v>2639</v>
      </c>
    </row>
    <row r="2667" spans="1:3" s="10" customFormat="1" x14ac:dyDescent="0.25">
      <c r="A2667" s="10" t="str">
        <f>"0611863975050"</f>
        <v>0611863975050</v>
      </c>
      <c r="B2667" s="10" t="str">
        <f>"CR3915"</f>
        <v>CR3915</v>
      </c>
      <c r="C2667" s="10" t="s">
        <v>2640</v>
      </c>
    </row>
    <row r="2668" spans="1:3" s="10" customFormat="1" x14ac:dyDescent="0.25">
      <c r="A2668" s="10" t="str">
        <f>"0611863976050"</f>
        <v>0611863976050</v>
      </c>
      <c r="B2668" s="10" t="str">
        <f>"CR3916"</f>
        <v>CR3916</v>
      </c>
      <c r="C2668" s="10" t="s">
        <v>2641</v>
      </c>
    </row>
    <row r="2669" spans="1:3" s="10" customFormat="1" x14ac:dyDescent="0.25">
      <c r="A2669" s="10" t="str">
        <f>"0611863977050"</f>
        <v>0611863977050</v>
      </c>
      <c r="B2669" s="10" t="str">
        <f>"CR3015"</f>
        <v>CR3015</v>
      </c>
      <c r="C2669" s="10" t="s">
        <v>2642</v>
      </c>
    </row>
    <row r="2670" spans="1:3" s="10" customFormat="1" x14ac:dyDescent="0.25">
      <c r="A2670" s="10" t="str">
        <f>"0611863978100"</f>
        <v>0611863978100</v>
      </c>
      <c r="B2670" s="10" t="str">
        <f>"CN5372"</f>
        <v>CN5372</v>
      </c>
      <c r="C2670" s="10" t="s">
        <v>2643</v>
      </c>
    </row>
    <row r="2671" spans="1:3" s="10" customFormat="1" x14ac:dyDescent="0.25">
      <c r="A2671" s="10" t="str">
        <f>"0611863979050"</f>
        <v>0611863979050</v>
      </c>
      <c r="B2671" s="10" t="str">
        <f>"CR2534"</f>
        <v>CR2534</v>
      </c>
      <c r="C2671" s="10" t="s">
        <v>2644</v>
      </c>
    </row>
    <row r="2672" spans="1:3" s="10" customFormat="1" x14ac:dyDescent="0.25">
      <c r="A2672" s="10" t="str">
        <f>"0611863980050"</f>
        <v>0611863980050</v>
      </c>
      <c r="B2672" s="10" t="str">
        <f>"CR3048"</f>
        <v>CR3048</v>
      </c>
      <c r="C2672" s="10" t="s">
        <v>2645</v>
      </c>
    </row>
    <row r="2673" spans="1:3" s="10" customFormat="1" x14ac:dyDescent="0.25">
      <c r="A2673" s="10" t="str">
        <f>"0611863981050"</f>
        <v>0611863981050</v>
      </c>
      <c r="B2673" s="10" t="str">
        <f>"CR2535"</f>
        <v>CR2535</v>
      </c>
      <c r="C2673" s="10" t="s">
        <v>2646</v>
      </c>
    </row>
    <row r="2674" spans="1:3" s="10" customFormat="1" x14ac:dyDescent="0.25">
      <c r="A2674" s="10" t="str">
        <f>"0611863985100"</f>
        <v>0611863985100</v>
      </c>
      <c r="B2674" s="10" t="str">
        <f>"CN5373"</f>
        <v>CN5373</v>
      </c>
      <c r="C2674" s="10" t="s">
        <v>2647</v>
      </c>
    </row>
    <row r="2675" spans="1:3" s="10" customFormat="1" x14ac:dyDescent="0.25">
      <c r="A2675" s="10" t="str">
        <f>"0611863987100"</f>
        <v>0611863987100</v>
      </c>
      <c r="B2675" s="10" t="str">
        <f>"CN5374"</f>
        <v>CN5374</v>
      </c>
      <c r="C2675" s="10" t="s">
        <v>2648</v>
      </c>
    </row>
    <row r="2676" spans="1:3" s="10" customFormat="1" x14ac:dyDescent="0.25">
      <c r="A2676" s="10" t="str">
        <f>"0611863992100"</f>
        <v>0611863992100</v>
      </c>
      <c r="B2676" s="10" t="str">
        <f>"CN5377"</f>
        <v>CN5377</v>
      </c>
      <c r="C2676" s="10" t="s">
        <v>2649</v>
      </c>
    </row>
    <row r="2677" spans="1:3" s="10" customFormat="1" x14ac:dyDescent="0.25">
      <c r="A2677" s="10" t="str">
        <f>"0611863993100"</f>
        <v>0611863993100</v>
      </c>
      <c r="B2677" s="10" t="str">
        <f>"CN5375"</f>
        <v>CN5375</v>
      </c>
      <c r="C2677" s="10" t="s">
        <v>2650</v>
      </c>
    </row>
    <row r="2678" spans="1:3" s="10" customFormat="1" x14ac:dyDescent="0.25">
      <c r="A2678" s="10" t="str">
        <f>"0611863994100"</f>
        <v>0611863994100</v>
      </c>
      <c r="B2678" s="10" t="str">
        <f>"CN5376"</f>
        <v>CN5376</v>
      </c>
      <c r="C2678" s="10" t="s">
        <v>2651</v>
      </c>
    </row>
    <row r="2679" spans="1:3" s="10" customFormat="1" x14ac:dyDescent="0.25">
      <c r="A2679" s="10" t="str">
        <f>"0611863996100"</f>
        <v>0611863996100</v>
      </c>
      <c r="B2679" s="10" t="str">
        <f>"CN5378"</f>
        <v>CN5378</v>
      </c>
      <c r="C2679" s="10" t="s">
        <v>2652</v>
      </c>
    </row>
    <row r="2680" spans="1:3" s="10" customFormat="1" x14ac:dyDescent="0.25">
      <c r="A2680" s="10" t="str">
        <f>"0611864003050"</f>
        <v>0611864003050</v>
      </c>
      <c r="B2680" s="10" t="str">
        <f>"CR2536"</f>
        <v>CR2536</v>
      </c>
      <c r="C2680" s="10" t="s">
        <v>2653</v>
      </c>
    </row>
    <row r="2681" spans="1:3" s="10" customFormat="1" x14ac:dyDescent="0.25">
      <c r="A2681" s="10" t="str">
        <f>"0611864004050"</f>
        <v>0611864004050</v>
      </c>
      <c r="B2681" s="10" t="str">
        <f>"CR2538"</f>
        <v>CR2538</v>
      </c>
      <c r="C2681" s="10" t="s">
        <v>2654</v>
      </c>
    </row>
    <row r="2682" spans="1:3" s="10" customFormat="1" x14ac:dyDescent="0.25">
      <c r="A2682" s="10" t="str">
        <f>"0611864005050"</f>
        <v>0611864005050</v>
      </c>
      <c r="B2682" s="10" t="str">
        <f>"CR3154"</f>
        <v>CR3154</v>
      </c>
      <c r="C2682" s="10" t="s">
        <v>2655</v>
      </c>
    </row>
    <row r="2683" spans="1:3" s="10" customFormat="1" x14ac:dyDescent="0.25">
      <c r="A2683" s="10" t="str">
        <f>"0611884459050"</f>
        <v>0611884459050</v>
      </c>
      <c r="B2683" s="10" t="str">
        <f>"CR5384"</f>
        <v>CR5384</v>
      </c>
      <c r="C2683" s="10" t="s">
        <v>2656</v>
      </c>
    </row>
    <row r="2684" spans="1:3" s="10" customFormat="1" x14ac:dyDescent="0.25">
      <c r="A2684" s="10" t="str">
        <f>"0611884460050"</f>
        <v>0611884460050</v>
      </c>
      <c r="B2684" s="10" t="str">
        <f>"CR5385"</f>
        <v>CR5385</v>
      </c>
      <c r="C2684" s="10" t="s">
        <v>2657</v>
      </c>
    </row>
    <row r="2685" spans="1:3" s="10" customFormat="1" x14ac:dyDescent="0.25">
      <c r="A2685" s="10" t="str">
        <f>"0611864006050"</f>
        <v>0611864006050</v>
      </c>
      <c r="B2685" s="10" t="str">
        <f>"CR3155"</f>
        <v>CR3155</v>
      </c>
      <c r="C2685" s="10" t="s">
        <v>2658</v>
      </c>
    </row>
    <row r="2686" spans="1:3" s="10" customFormat="1" x14ac:dyDescent="0.25">
      <c r="A2686" s="10" t="str">
        <f>"0611906595050"</f>
        <v>0611906595050</v>
      </c>
      <c r="B2686" s="10" t="str">
        <f>"CR5513"</f>
        <v>CR5513</v>
      </c>
      <c r="C2686" s="10" t="s">
        <v>2659</v>
      </c>
    </row>
    <row r="2687" spans="1:3" s="10" customFormat="1" x14ac:dyDescent="0.25">
      <c r="A2687" s="10" t="str">
        <f>"0611906596050"</f>
        <v>0611906596050</v>
      </c>
      <c r="B2687" s="10" t="str">
        <f>"CR5514"</f>
        <v>CR5514</v>
      </c>
      <c r="C2687" s="10" t="s">
        <v>2660</v>
      </c>
    </row>
    <row r="2688" spans="1:3" s="10" customFormat="1" x14ac:dyDescent="0.25">
      <c r="A2688" s="10" t="str">
        <f>"0611864007050"</f>
        <v>0611864007050</v>
      </c>
      <c r="B2688" s="10" t="str">
        <f>"CR3742"</f>
        <v>CR3742</v>
      </c>
      <c r="C2688" s="10" t="s">
        <v>2661</v>
      </c>
    </row>
    <row r="2689" spans="1:3" s="10" customFormat="1" x14ac:dyDescent="0.25">
      <c r="A2689" s="10" t="str">
        <f>"0611884461050"</f>
        <v>0611884461050</v>
      </c>
      <c r="B2689" s="10" t="str">
        <f>"CR5399"</f>
        <v>CR5399</v>
      </c>
      <c r="C2689" s="10" t="s">
        <v>2662</v>
      </c>
    </row>
    <row r="2690" spans="1:3" s="10" customFormat="1" x14ac:dyDescent="0.25">
      <c r="A2690" s="10" t="str">
        <f>"0611864008050"</f>
        <v>0611864008050</v>
      </c>
      <c r="B2690" s="10" t="str">
        <f>"CR4869"</f>
        <v>CR4869</v>
      </c>
      <c r="C2690" s="10" t="s">
        <v>2663</v>
      </c>
    </row>
    <row r="2691" spans="1:3" s="10" customFormat="1" x14ac:dyDescent="0.25">
      <c r="A2691" s="10" t="str">
        <f>"0611864009050"</f>
        <v>0611864009050</v>
      </c>
      <c r="B2691" s="10" t="str">
        <f>"CR3156"</f>
        <v>CR3156</v>
      </c>
      <c r="C2691" s="10" t="s">
        <v>2664</v>
      </c>
    </row>
    <row r="2692" spans="1:3" s="10" customFormat="1" x14ac:dyDescent="0.25">
      <c r="A2692" s="10" t="str">
        <f>"0611884462050"</f>
        <v>0611884462050</v>
      </c>
      <c r="B2692" s="10" t="str">
        <f>"CR5373"</f>
        <v>CR5373</v>
      </c>
      <c r="C2692" s="10" t="s">
        <v>2665</v>
      </c>
    </row>
    <row r="2693" spans="1:3" s="10" customFormat="1" x14ac:dyDescent="0.25">
      <c r="A2693" t="str">
        <f>"0611839146100"</f>
        <v>0611839146100</v>
      </c>
      <c r="B2693" t="str">
        <f>"LQ0824"</f>
        <v>LQ0824</v>
      </c>
      <c r="C2693" t="s">
        <v>2666</v>
      </c>
    </row>
    <row r="2694" spans="1:3" s="10" customFormat="1" x14ac:dyDescent="0.25">
      <c r="A2694" s="10" t="str">
        <f>"0611864010050"</f>
        <v>0611864010050</v>
      </c>
      <c r="B2694" s="10" t="str">
        <f>"CR3570"</f>
        <v>CR3570</v>
      </c>
      <c r="C2694" s="10" t="s">
        <v>2667</v>
      </c>
    </row>
    <row r="2695" spans="1:3" s="10" customFormat="1" x14ac:dyDescent="0.25">
      <c r="A2695" t="str">
        <f>"0611839147100"</f>
        <v>0611839147100</v>
      </c>
      <c r="B2695" t="str">
        <f>"LQ0826"</f>
        <v>LQ0826</v>
      </c>
      <c r="C2695" t="s">
        <v>2668</v>
      </c>
    </row>
    <row r="2696" spans="1:3" s="10" customFormat="1" x14ac:dyDescent="0.25">
      <c r="A2696" s="10" t="str">
        <f>"0611864011050"</f>
        <v>0611864011050</v>
      </c>
      <c r="B2696" s="10" t="str">
        <f>"CR3571"</f>
        <v>CR3571</v>
      </c>
      <c r="C2696" s="10" t="s">
        <v>2669</v>
      </c>
    </row>
    <row r="2697" spans="1:3" s="10" customFormat="1" x14ac:dyDescent="0.25">
      <c r="A2697" t="str">
        <f>"0611839148100"</f>
        <v>0611839148100</v>
      </c>
      <c r="B2697" t="str">
        <f>"LQ3423"</f>
        <v>LQ3423</v>
      </c>
      <c r="C2697" t="s">
        <v>2670</v>
      </c>
    </row>
    <row r="2698" spans="1:3" s="10" customFormat="1" x14ac:dyDescent="0.25">
      <c r="A2698" s="10" t="str">
        <f>"0611864012050"</f>
        <v>0611864012050</v>
      </c>
      <c r="B2698" s="10" t="str">
        <f>"CR3572"</f>
        <v>CR3572</v>
      </c>
      <c r="C2698" s="10" t="s">
        <v>2671</v>
      </c>
    </row>
    <row r="2699" spans="1:3" s="10" customFormat="1" x14ac:dyDescent="0.25">
      <c r="A2699" t="str">
        <f>"0611839149100"</f>
        <v>0611839149100</v>
      </c>
      <c r="B2699" t="str">
        <f>"LQ3424"</f>
        <v>LQ3424</v>
      </c>
      <c r="C2699" t="s">
        <v>2672</v>
      </c>
    </row>
    <row r="2700" spans="1:3" s="10" customFormat="1" x14ac:dyDescent="0.25">
      <c r="A2700" t="str">
        <f>"0611839150100"</f>
        <v>0611839150100</v>
      </c>
      <c r="B2700" t="str">
        <f>"LQ0827"</f>
        <v>LQ0827</v>
      </c>
      <c r="C2700" t="s">
        <v>2673</v>
      </c>
    </row>
    <row r="2701" spans="1:3" s="10" customFormat="1" x14ac:dyDescent="0.25">
      <c r="A2701" t="str">
        <f>"0611839151100"</f>
        <v>0611839151100</v>
      </c>
      <c r="B2701" t="str">
        <f>"LQ0897"</f>
        <v>LQ0897</v>
      </c>
      <c r="C2701" t="s">
        <v>2674</v>
      </c>
    </row>
    <row r="2702" spans="1:3" s="10" customFormat="1" x14ac:dyDescent="0.25">
      <c r="A2702" s="10" t="str">
        <f>"0611864014050"</f>
        <v>0611864014050</v>
      </c>
      <c r="B2702" s="10" t="str">
        <f>"CR2541"</f>
        <v>CR2541</v>
      </c>
      <c r="C2702" s="10" t="s">
        <v>2675</v>
      </c>
    </row>
    <row r="2703" spans="1:3" s="10" customFormat="1" x14ac:dyDescent="0.25">
      <c r="A2703" s="10" t="str">
        <f>"0611864015050"</f>
        <v>0611864015050</v>
      </c>
      <c r="B2703" s="10" t="str">
        <f>"CR5237"</f>
        <v>CR5237</v>
      </c>
      <c r="C2703" s="10" t="s">
        <v>2676</v>
      </c>
    </row>
    <row r="2704" spans="1:3" s="10" customFormat="1" x14ac:dyDescent="0.25">
      <c r="A2704" s="10" t="str">
        <f>"0611864016050"</f>
        <v>0611864016050</v>
      </c>
      <c r="B2704" s="10" t="str">
        <f>"CR3406"</f>
        <v>CR3406</v>
      </c>
      <c r="C2704" s="10" t="s">
        <v>2677</v>
      </c>
    </row>
    <row r="2705" spans="1:3" s="10" customFormat="1" x14ac:dyDescent="0.25">
      <c r="A2705" s="10" t="str">
        <f>"0611864017050"</f>
        <v>0611864017050</v>
      </c>
      <c r="B2705" s="10" t="str">
        <f>"CR3272"</f>
        <v>CR3272</v>
      </c>
      <c r="C2705" s="10" t="s">
        <v>2678</v>
      </c>
    </row>
    <row r="2706" spans="1:3" s="10" customFormat="1" x14ac:dyDescent="0.25">
      <c r="A2706" t="str">
        <f>"0611839152100"</f>
        <v>0611839152100</v>
      </c>
      <c r="B2706" t="str">
        <f>"LQ3425"</f>
        <v>LQ3425</v>
      </c>
      <c r="C2706" t="s">
        <v>2679</v>
      </c>
    </row>
    <row r="2707" spans="1:3" s="10" customFormat="1" x14ac:dyDescent="0.25">
      <c r="A2707" s="10" t="str">
        <f>"0611864018050"</f>
        <v>0611864018050</v>
      </c>
      <c r="B2707" s="10" t="str">
        <f>"CR2542"</f>
        <v>CR2542</v>
      </c>
      <c r="C2707" s="10" t="s">
        <v>2680</v>
      </c>
    </row>
    <row r="2708" spans="1:3" s="10" customFormat="1" x14ac:dyDescent="0.25">
      <c r="A2708" s="10" t="str">
        <f>"0611864021050"</f>
        <v>0611864021050</v>
      </c>
      <c r="B2708" s="10" t="str">
        <f>"CR5238"</f>
        <v>CR5238</v>
      </c>
      <c r="C2708" s="10" t="s">
        <v>2681</v>
      </c>
    </row>
    <row r="2709" spans="1:3" s="10" customFormat="1" x14ac:dyDescent="0.25">
      <c r="A2709" s="10" t="str">
        <f>"0611864023050"</f>
        <v>0611864023050</v>
      </c>
      <c r="B2709" s="10" t="str">
        <f>"CR4665"</f>
        <v>CR4665</v>
      </c>
      <c r="C2709" s="10" t="s">
        <v>2682</v>
      </c>
    </row>
    <row r="2710" spans="1:3" s="10" customFormat="1" x14ac:dyDescent="0.25">
      <c r="A2710" s="10" t="str">
        <f>"0611864024050"</f>
        <v>0611864024050</v>
      </c>
      <c r="B2710" s="10" t="str">
        <f>"CR4743"</f>
        <v>CR4743</v>
      </c>
      <c r="C2710" s="10" t="s">
        <v>2683</v>
      </c>
    </row>
    <row r="2711" spans="1:3" s="10" customFormat="1" x14ac:dyDescent="0.25">
      <c r="A2711" s="10" t="str">
        <f>"0611864025100"</f>
        <v>0611864025100</v>
      </c>
      <c r="B2711" s="10" t="str">
        <f>"CN2242"</f>
        <v>CN2242</v>
      </c>
      <c r="C2711" s="10" t="s">
        <v>2684</v>
      </c>
    </row>
    <row r="2712" spans="1:3" s="10" customFormat="1" x14ac:dyDescent="0.25">
      <c r="A2712" s="10" t="str">
        <f>"0611864026100"</f>
        <v>0611864026100</v>
      </c>
      <c r="B2712" s="10" t="str">
        <f>"CN2243"</f>
        <v>CN2243</v>
      </c>
      <c r="C2712" s="10" t="s">
        <v>2685</v>
      </c>
    </row>
    <row r="2713" spans="1:3" s="10" customFormat="1" x14ac:dyDescent="0.25">
      <c r="A2713" s="10" t="str">
        <f>"0611864029100"</f>
        <v>0611864029100</v>
      </c>
      <c r="B2713" s="10" t="str">
        <f>"CN2245"</f>
        <v>CN2245</v>
      </c>
      <c r="C2713" s="10" t="s">
        <v>2686</v>
      </c>
    </row>
    <row r="2714" spans="1:3" s="10" customFormat="1" x14ac:dyDescent="0.25">
      <c r="A2714" s="10" t="str">
        <f>"0611864030100"</f>
        <v>0611864030100</v>
      </c>
      <c r="B2714" s="10" t="str">
        <f>"CN5394"</f>
        <v>CN5394</v>
      </c>
      <c r="C2714" s="10" t="s">
        <v>2687</v>
      </c>
    </row>
    <row r="2715" spans="1:3" s="10" customFormat="1" x14ac:dyDescent="0.25">
      <c r="A2715" s="10" t="str">
        <f>"0611864031100"</f>
        <v>0611864031100</v>
      </c>
      <c r="B2715" s="10" t="str">
        <f>"CN5395"</f>
        <v>CN5395</v>
      </c>
      <c r="C2715" s="10" t="s">
        <v>2688</v>
      </c>
    </row>
    <row r="2716" spans="1:3" s="10" customFormat="1" x14ac:dyDescent="0.25">
      <c r="A2716" s="10" t="str">
        <f>"0611864033100"</f>
        <v>0611864033100</v>
      </c>
      <c r="B2716" s="10" t="str">
        <f>"CN2391"</f>
        <v>CN2391</v>
      </c>
      <c r="C2716" s="10" t="s">
        <v>2689</v>
      </c>
    </row>
    <row r="2717" spans="1:3" s="10" customFormat="1" x14ac:dyDescent="0.25">
      <c r="A2717" s="10" t="str">
        <f>"0611864035100"</f>
        <v>0611864035100</v>
      </c>
      <c r="B2717" s="10" t="str">
        <f>"CN5390"</f>
        <v>CN5390</v>
      </c>
      <c r="C2717" s="10" t="s">
        <v>2690</v>
      </c>
    </row>
    <row r="2718" spans="1:3" s="10" customFormat="1" x14ac:dyDescent="0.25">
      <c r="A2718" s="10" t="str">
        <f>"0611864034050"</f>
        <v>0611864034050</v>
      </c>
      <c r="B2718" s="10" t="str">
        <f>"CR4472"</f>
        <v>CR4472</v>
      </c>
      <c r="C2718" s="10" t="s">
        <v>2691</v>
      </c>
    </row>
    <row r="2719" spans="1:3" s="10" customFormat="1" x14ac:dyDescent="0.25">
      <c r="A2719" s="10" t="str">
        <f>"0611864036100"</f>
        <v>0611864036100</v>
      </c>
      <c r="B2719" s="10" t="str">
        <f>"CN2244"</f>
        <v>CN2244</v>
      </c>
      <c r="C2719" s="10" t="s">
        <v>2692</v>
      </c>
    </row>
    <row r="2720" spans="1:3" s="10" customFormat="1" x14ac:dyDescent="0.25">
      <c r="A2720" s="10" t="str">
        <f>"0611864037100"</f>
        <v>0611864037100</v>
      </c>
      <c r="B2720" s="10" t="str">
        <f>"CN5387"</f>
        <v>CN5387</v>
      </c>
      <c r="C2720" s="10" t="s">
        <v>2693</v>
      </c>
    </row>
    <row r="2721" spans="1:3" s="10" customFormat="1" x14ac:dyDescent="0.25">
      <c r="A2721" s="10" t="str">
        <f>"0611864041100"</f>
        <v>0611864041100</v>
      </c>
      <c r="B2721" s="10" t="str">
        <f>"CN5392"</f>
        <v>CN5392</v>
      </c>
      <c r="C2721" s="10" t="s">
        <v>2694</v>
      </c>
    </row>
    <row r="2722" spans="1:3" s="10" customFormat="1" x14ac:dyDescent="0.25">
      <c r="A2722" s="10" t="str">
        <f>"0611864042100"</f>
        <v>0611864042100</v>
      </c>
      <c r="B2722" s="10" t="str">
        <f>"CN5386"</f>
        <v>CN5386</v>
      </c>
      <c r="C2722" s="10" t="s">
        <v>2695</v>
      </c>
    </row>
    <row r="2723" spans="1:3" s="10" customFormat="1" x14ac:dyDescent="0.25">
      <c r="A2723" s="10" t="str">
        <f>"0611864044100"</f>
        <v>0611864044100</v>
      </c>
      <c r="B2723" s="10" t="str">
        <f>"CN2246"</f>
        <v>CN2246</v>
      </c>
      <c r="C2723" s="10" t="s">
        <v>2696</v>
      </c>
    </row>
    <row r="2724" spans="1:3" s="10" customFormat="1" x14ac:dyDescent="0.25">
      <c r="A2724" s="10" t="str">
        <f>"0611864045050"</f>
        <v>0611864045050</v>
      </c>
      <c r="B2724" s="10" t="str">
        <f>"CR4478"</f>
        <v>CR4478</v>
      </c>
      <c r="C2724" s="10" t="s">
        <v>2697</v>
      </c>
    </row>
    <row r="2725" spans="1:3" s="10" customFormat="1" x14ac:dyDescent="0.25">
      <c r="A2725" s="10" t="str">
        <f>"0611864046050"</f>
        <v>0611864046050</v>
      </c>
      <c r="B2725" s="10" t="str">
        <f>"CR4473"</f>
        <v>CR4473</v>
      </c>
      <c r="C2725" s="10" t="s">
        <v>2698</v>
      </c>
    </row>
    <row r="2726" spans="1:3" s="10" customFormat="1" x14ac:dyDescent="0.25">
      <c r="A2726" s="10" t="str">
        <f>"0611864047100"</f>
        <v>0611864047100</v>
      </c>
      <c r="B2726" s="10" t="str">
        <f>"CN2272"</f>
        <v>CN2272</v>
      </c>
      <c r="C2726" s="10" t="s">
        <v>2699</v>
      </c>
    </row>
    <row r="2727" spans="1:3" s="10" customFormat="1" x14ac:dyDescent="0.25">
      <c r="A2727" s="10" t="str">
        <f>"0611864048100"</f>
        <v>0611864048100</v>
      </c>
      <c r="B2727" s="10" t="str">
        <f>"CN2247"</f>
        <v>CN2247</v>
      </c>
      <c r="C2727" s="10" t="s">
        <v>2700</v>
      </c>
    </row>
    <row r="2728" spans="1:3" s="10" customFormat="1" x14ac:dyDescent="0.25">
      <c r="A2728" s="10" t="str">
        <f>"0611864050050"</f>
        <v>0611864050050</v>
      </c>
      <c r="B2728" s="10" t="str">
        <f>"CR4474"</f>
        <v>CR4474</v>
      </c>
      <c r="C2728" s="10" t="s">
        <v>2701</v>
      </c>
    </row>
    <row r="2729" spans="1:3" s="10" customFormat="1" x14ac:dyDescent="0.25">
      <c r="A2729" s="10" t="str">
        <f>"0611864051100"</f>
        <v>0611864051100</v>
      </c>
      <c r="B2729" s="10" t="str">
        <f>"CN5379"</f>
        <v>CN5379</v>
      </c>
      <c r="C2729" s="10" t="s">
        <v>2702</v>
      </c>
    </row>
    <row r="2730" spans="1:3" s="10" customFormat="1" x14ac:dyDescent="0.25">
      <c r="A2730" s="10" t="str">
        <f>"0611864052100"</f>
        <v>0611864052100</v>
      </c>
      <c r="B2730" s="10" t="str">
        <f>"CN5380"</f>
        <v>CN5380</v>
      </c>
      <c r="C2730" s="10" t="s">
        <v>2703</v>
      </c>
    </row>
    <row r="2731" spans="1:3" s="10" customFormat="1" x14ac:dyDescent="0.25">
      <c r="A2731" s="10" t="str">
        <f>"0611864053100"</f>
        <v>0611864053100</v>
      </c>
      <c r="B2731" s="10" t="str">
        <f>"CN5381"</f>
        <v>CN5381</v>
      </c>
      <c r="C2731" s="10" t="s">
        <v>2704</v>
      </c>
    </row>
    <row r="2732" spans="1:3" s="10" customFormat="1" x14ac:dyDescent="0.25">
      <c r="A2732" s="10" t="str">
        <f>"0611864054100"</f>
        <v>0611864054100</v>
      </c>
      <c r="B2732" s="10" t="str">
        <f>"CN5382"</f>
        <v>CN5382</v>
      </c>
      <c r="C2732" s="10" t="s">
        <v>2705</v>
      </c>
    </row>
    <row r="2733" spans="1:3" s="10" customFormat="1" x14ac:dyDescent="0.25">
      <c r="A2733" s="10" t="str">
        <f>"0611864057100"</f>
        <v>0611864057100</v>
      </c>
      <c r="B2733" s="10" t="str">
        <f>"CN5384"</f>
        <v>CN5384</v>
      </c>
      <c r="C2733" s="10" t="s">
        <v>2706</v>
      </c>
    </row>
    <row r="2734" spans="1:3" s="10" customFormat="1" x14ac:dyDescent="0.25">
      <c r="A2734" s="10" t="str">
        <f>"0611864059100"</f>
        <v>0611864059100</v>
      </c>
      <c r="B2734" s="10" t="str">
        <f>"CN5385"</f>
        <v>CN5385</v>
      </c>
      <c r="C2734" s="10" t="s">
        <v>2707</v>
      </c>
    </row>
    <row r="2735" spans="1:3" s="10" customFormat="1" x14ac:dyDescent="0.25">
      <c r="A2735" s="10" t="str">
        <f>"0611864060100"</f>
        <v>0611864060100</v>
      </c>
      <c r="B2735" s="10" t="str">
        <f>"CN2389"</f>
        <v>CN2389</v>
      </c>
      <c r="C2735" s="10" t="s">
        <v>2708</v>
      </c>
    </row>
    <row r="2736" spans="1:3" s="10" customFormat="1" x14ac:dyDescent="0.25">
      <c r="A2736" s="10" t="str">
        <f>"0611864061100"</f>
        <v>0611864061100</v>
      </c>
      <c r="B2736" s="10" t="str">
        <f>"CN2390"</f>
        <v>CN2390</v>
      </c>
      <c r="C2736" s="10" t="s">
        <v>2709</v>
      </c>
    </row>
    <row r="2737" spans="1:3" s="10" customFormat="1" x14ac:dyDescent="0.25">
      <c r="A2737" s="10" t="str">
        <f>"0611864064100"</f>
        <v>0611864064100</v>
      </c>
      <c r="B2737" s="10" t="str">
        <f>"CN5393"</f>
        <v>CN5393</v>
      </c>
      <c r="C2737" s="10" t="s">
        <v>2710</v>
      </c>
    </row>
    <row r="2738" spans="1:3" s="10" customFormat="1" x14ac:dyDescent="0.25">
      <c r="A2738" s="10" t="str">
        <f>"0611864065050"</f>
        <v>0611864065050</v>
      </c>
      <c r="B2738" s="10" t="str">
        <f>"CR4476"</f>
        <v>CR4476</v>
      </c>
      <c r="C2738" s="10" t="s">
        <v>2711</v>
      </c>
    </row>
    <row r="2739" spans="1:3" s="10" customFormat="1" x14ac:dyDescent="0.25">
      <c r="A2739" s="10" t="str">
        <f>"0611864066100"</f>
        <v>0611864066100</v>
      </c>
      <c r="B2739" s="10" t="str">
        <f>"CN5388"</f>
        <v>CN5388</v>
      </c>
      <c r="C2739" s="10" t="s">
        <v>2712</v>
      </c>
    </row>
    <row r="2740" spans="1:3" s="10" customFormat="1" x14ac:dyDescent="0.25">
      <c r="A2740" s="10" t="str">
        <f>"0611864068100"</f>
        <v>0611864068100</v>
      </c>
      <c r="B2740" s="10" t="str">
        <f>"CN2248"</f>
        <v>CN2248</v>
      </c>
      <c r="C2740" s="10" t="s">
        <v>2713</v>
      </c>
    </row>
    <row r="2741" spans="1:3" s="10" customFormat="1" x14ac:dyDescent="0.25">
      <c r="A2741" s="10" t="str">
        <f>"0611864069100"</f>
        <v>0611864069100</v>
      </c>
      <c r="B2741" s="10" t="str">
        <f>"CN2249"</f>
        <v>CN2249</v>
      </c>
      <c r="C2741" s="10" t="s">
        <v>2714</v>
      </c>
    </row>
    <row r="2742" spans="1:3" s="10" customFormat="1" x14ac:dyDescent="0.25">
      <c r="A2742" s="10" t="str">
        <f>"0611864070100"</f>
        <v>0611864070100</v>
      </c>
      <c r="B2742" s="10" t="str">
        <f>"CN2250"</f>
        <v>CN2250</v>
      </c>
      <c r="C2742" s="10" t="s">
        <v>2715</v>
      </c>
    </row>
    <row r="2743" spans="1:3" s="10" customFormat="1" x14ac:dyDescent="0.25">
      <c r="A2743" s="10" t="str">
        <f>"0611864072100"</f>
        <v>0611864072100</v>
      </c>
      <c r="B2743" s="10" t="str">
        <f>"CN2252"</f>
        <v>CN2252</v>
      </c>
      <c r="C2743" s="10" t="s">
        <v>2716</v>
      </c>
    </row>
    <row r="2744" spans="1:3" s="10" customFormat="1" x14ac:dyDescent="0.25">
      <c r="A2744" s="10" t="str">
        <f>"0611864073100"</f>
        <v>0611864073100</v>
      </c>
      <c r="B2744" s="10" t="str">
        <f>"CN2260"</f>
        <v>CN2260</v>
      </c>
      <c r="C2744" s="10" t="s">
        <v>2717</v>
      </c>
    </row>
    <row r="2745" spans="1:3" s="10" customFormat="1" x14ac:dyDescent="0.25">
      <c r="A2745" s="10" t="str">
        <f>"0611864074100"</f>
        <v>0611864074100</v>
      </c>
      <c r="B2745" s="10" t="str">
        <f>"CN2253"</f>
        <v>CN2253</v>
      </c>
      <c r="C2745" s="10" t="s">
        <v>2718</v>
      </c>
    </row>
    <row r="2746" spans="1:3" s="10" customFormat="1" x14ac:dyDescent="0.25">
      <c r="A2746" s="10" t="str">
        <f>"0611864076100"</f>
        <v>0611864076100</v>
      </c>
      <c r="B2746" s="10" t="str">
        <f>"CN2255"</f>
        <v>CN2255</v>
      </c>
      <c r="C2746" s="10" t="s">
        <v>2719</v>
      </c>
    </row>
    <row r="2747" spans="1:3" s="10" customFormat="1" x14ac:dyDescent="0.25">
      <c r="A2747" s="10" t="str">
        <f>"0611864077100"</f>
        <v>0611864077100</v>
      </c>
      <c r="B2747" s="10" t="str">
        <f>"CN2256"</f>
        <v>CN2256</v>
      </c>
      <c r="C2747" s="10" t="s">
        <v>2720</v>
      </c>
    </row>
    <row r="2748" spans="1:3" s="10" customFormat="1" x14ac:dyDescent="0.25">
      <c r="A2748" s="10" t="str">
        <f>"0611864078100"</f>
        <v>0611864078100</v>
      </c>
      <c r="B2748" s="10" t="str">
        <f>"CN2261"</f>
        <v>CN2261</v>
      </c>
      <c r="C2748" s="10" t="s">
        <v>2721</v>
      </c>
    </row>
    <row r="2749" spans="1:3" s="10" customFormat="1" x14ac:dyDescent="0.25">
      <c r="A2749" s="10" t="str">
        <f>"0611864080100"</f>
        <v>0611864080100</v>
      </c>
      <c r="B2749" s="10" t="str">
        <f>"CN2263"</f>
        <v>CN2263</v>
      </c>
      <c r="C2749" s="10" t="s">
        <v>2722</v>
      </c>
    </row>
    <row r="2750" spans="1:3" s="10" customFormat="1" x14ac:dyDescent="0.25">
      <c r="A2750" s="10" t="str">
        <f>"0611864081100"</f>
        <v>0611864081100</v>
      </c>
      <c r="B2750" s="10" t="str">
        <f>"CN2257"</f>
        <v>CN2257</v>
      </c>
      <c r="C2750" s="10" t="s">
        <v>2723</v>
      </c>
    </row>
    <row r="2751" spans="1:3" s="10" customFormat="1" x14ac:dyDescent="0.25">
      <c r="A2751" s="10" t="str">
        <f>"0611864082100"</f>
        <v>0611864082100</v>
      </c>
      <c r="B2751" s="10" t="str">
        <f>"CN2258"</f>
        <v>CN2258</v>
      </c>
      <c r="C2751" s="10" t="s">
        <v>2724</v>
      </c>
    </row>
    <row r="2752" spans="1:3" s="10" customFormat="1" x14ac:dyDescent="0.25">
      <c r="A2752" s="10" t="str">
        <f>"0611864083100"</f>
        <v>0611864083100</v>
      </c>
      <c r="B2752" s="10" t="str">
        <f>"CN2259"</f>
        <v>CN2259</v>
      </c>
      <c r="C2752" s="10" t="s">
        <v>2725</v>
      </c>
    </row>
    <row r="2753" spans="1:3" s="10" customFormat="1" x14ac:dyDescent="0.25">
      <c r="A2753" s="10" t="str">
        <f>"0611864084100"</f>
        <v>0611864084100</v>
      </c>
      <c r="B2753" s="10" t="str">
        <f>"CN2264"</f>
        <v>CN2264</v>
      </c>
      <c r="C2753" s="10" t="s">
        <v>2726</v>
      </c>
    </row>
    <row r="2754" spans="1:3" s="10" customFormat="1" x14ac:dyDescent="0.25">
      <c r="A2754" s="10" t="str">
        <f>"0611884468100"</f>
        <v>0611884468100</v>
      </c>
      <c r="B2754" s="10" t="str">
        <f>"CN2415"</f>
        <v>CN2415</v>
      </c>
      <c r="C2754" s="10" t="s">
        <v>2727</v>
      </c>
    </row>
    <row r="2755" spans="1:3" s="10" customFormat="1" x14ac:dyDescent="0.25">
      <c r="A2755" s="10" t="str">
        <f>"0611864086050"</f>
        <v>0611864086050</v>
      </c>
      <c r="B2755" s="10" t="str">
        <f>"CR5239"</f>
        <v>CR5239</v>
      </c>
      <c r="C2755" s="10" t="s">
        <v>2728</v>
      </c>
    </row>
    <row r="2756" spans="1:3" s="10" customFormat="1" x14ac:dyDescent="0.25">
      <c r="A2756" s="10" t="str">
        <f>"0611864087050"</f>
        <v>0611864087050</v>
      </c>
      <c r="B2756" s="10" t="str">
        <f>"CR5240"</f>
        <v>CR5240</v>
      </c>
      <c r="C2756" s="10" t="s">
        <v>2729</v>
      </c>
    </row>
    <row r="2757" spans="1:3" s="10" customFormat="1" x14ac:dyDescent="0.25">
      <c r="A2757" s="10" t="str">
        <f>"0611864088050"</f>
        <v>0611864088050</v>
      </c>
      <c r="B2757" s="10" t="str">
        <f>"CR5074"</f>
        <v>CR5074</v>
      </c>
      <c r="C2757" s="10" t="s">
        <v>2730</v>
      </c>
    </row>
    <row r="2758" spans="1:3" s="10" customFormat="1" x14ac:dyDescent="0.25">
      <c r="A2758" s="10" t="str">
        <f>"0611864089050"</f>
        <v>0611864089050</v>
      </c>
      <c r="B2758" s="10" t="str">
        <f>"CR5243"</f>
        <v>CR5243</v>
      </c>
      <c r="C2758" s="10" t="s">
        <v>2731</v>
      </c>
    </row>
    <row r="2759" spans="1:3" s="10" customFormat="1" x14ac:dyDescent="0.25">
      <c r="A2759" s="10" t="str">
        <f>"0611864091050"</f>
        <v>0611864091050</v>
      </c>
      <c r="B2759" s="10" t="str">
        <f>"CR5076"</f>
        <v>CR5076</v>
      </c>
      <c r="C2759" s="10" t="s">
        <v>2733</v>
      </c>
    </row>
    <row r="2760" spans="1:3" s="10" customFormat="1" x14ac:dyDescent="0.25">
      <c r="A2760" s="10" t="str">
        <f>"0611864090050"</f>
        <v>0611864090050</v>
      </c>
      <c r="B2760" s="10" t="str">
        <f>"CR5077"</f>
        <v>CR5077</v>
      </c>
      <c r="C2760" s="10" t="s">
        <v>2732</v>
      </c>
    </row>
    <row r="2761" spans="1:3" s="10" customFormat="1" x14ac:dyDescent="0.25">
      <c r="A2761" s="10" t="str">
        <f>"0611864092050"</f>
        <v>0611864092050</v>
      </c>
      <c r="B2761" s="10" t="str">
        <f>"CR5075"</f>
        <v>CR5075</v>
      </c>
      <c r="C2761" s="10" t="s">
        <v>2734</v>
      </c>
    </row>
    <row r="2762" spans="1:3" s="10" customFormat="1" x14ac:dyDescent="0.25">
      <c r="A2762" s="10" t="str">
        <f>"0611864093050"</f>
        <v>0611864093050</v>
      </c>
      <c r="B2762" s="10" t="str">
        <f>"CR5078"</f>
        <v>CR5078</v>
      </c>
      <c r="C2762" s="10" t="s">
        <v>2735</v>
      </c>
    </row>
    <row r="2763" spans="1:3" s="10" customFormat="1" x14ac:dyDescent="0.25">
      <c r="A2763" s="10" t="str">
        <f>"0611864094050"</f>
        <v>0611864094050</v>
      </c>
      <c r="B2763" s="10" t="str">
        <f>"CR5241"</f>
        <v>CR5241</v>
      </c>
      <c r="C2763" s="10" t="s">
        <v>2736</v>
      </c>
    </row>
    <row r="2764" spans="1:3" s="10" customFormat="1" x14ac:dyDescent="0.25">
      <c r="A2764" s="10" t="str">
        <f>"0611864095050"</f>
        <v>0611864095050</v>
      </c>
      <c r="B2764" s="10" t="str">
        <f>"CR5242"</f>
        <v>CR5242</v>
      </c>
      <c r="C2764" s="10" t="s">
        <v>2737</v>
      </c>
    </row>
    <row r="2765" spans="1:3" s="10" customFormat="1" x14ac:dyDescent="0.25">
      <c r="A2765" s="10" t="str">
        <f>"0611864096050"</f>
        <v>0611864096050</v>
      </c>
      <c r="B2765" s="10" t="str">
        <f>"CR5244"</f>
        <v>CR5244</v>
      </c>
      <c r="C2765" s="10" t="s">
        <v>2738</v>
      </c>
    </row>
    <row r="2766" spans="1:3" s="10" customFormat="1" x14ac:dyDescent="0.25">
      <c r="A2766" s="10" t="str">
        <f>"0611864097100"</f>
        <v>0611864097100</v>
      </c>
      <c r="B2766" s="10" t="str">
        <f>"CN2265"</f>
        <v>CN2265</v>
      </c>
      <c r="C2766" s="10" t="s">
        <v>2739</v>
      </c>
    </row>
    <row r="2767" spans="1:3" s="10" customFormat="1" x14ac:dyDescent="0.25">
      <c r="A2767" s="10" t="str">
        <f>"0611864099100"</f>
        <v>0611864099100</v>
      </c>
      <c r="B2767" s="10" t="str">
        <f>"CN2268"</f>
        <v>CN2268</v>
      </c>
      <c r="C2767" s="10" t="s">
        <v>2740</v>
      </c>
    </row>
    <row r="2768" spans="1:3" s="10" customFormat="1" x14ac:dyDescent="0.25">
      <c r="A2768" s="10" t="str">
        <f>"0611864100050"</f>
        <v>0611864100050</v>
      </c>
      <c r="B2768" s="10" t="str">
        <f>"CR2543"</f>
        <v>CR2543</v>
      </c>
      <c r="C2768" s="10" t="s">
        <v>2741</v>
      </c>
    </row>
    <row r="2769" spans="1:3" s="10" customFormat="1" x14ac:dyDescent="0.25">
      <c r="A2769" s="10" t="str">
        <f>"0611864105100"</f>
        <v>0611864105100</v>
      </c>
      <c r="B2769" s="10" t="str">
        <f>"CN5398"</f>
        <v>CN5398</v>
      </c>
      <c r="C2769" s="10" t="s">
        <v>2742</v>
      </c>
    </row>
    <row r="2770" spans="1:3" s="10" customFormat="1" x14ac:dyDescent="0.25">
      <c r="A2770" s="10" t="str">
        <f>"0611862559100"</f>
        <v>0611862559100</v>
      </c>
      <c r="B2770" s="10" t="str">
        <f>"CN5400"</f>
        <v>CN5400</v>
      </c>
      <c r="C2770" s="10" t="s">
        <v>2743</v>
      </c>
    </row>
    <row r="2771" spans="1:3" s="10" customFormat="1" x14ac:dyDescent="0.25">
      <c r="A2771" s="10" t="str">
        <f>"0611864106050"</f>
        <v>0611864106050</v>
      </c>
      <c r="B2771" s="10" t="str">
        <f>"CR3575"</f>
        <v>CR3575</v>
      </c>
      <c r="C2771" s="10" t="s">
        <v>2744</v>
      </c>
    </row>
    <row r="2772" spans="1:3" s="10" customFormat="1" x14ac:dyDescent="0.25">
      <c r="A2772" s="10" t="str">
        <f>"0611862560050"</f>
        <v>0611862560050</v>
      </c>
      <c r="B2772" s="10" t="str">
        <f>"CR4487"</f>
        <v>CR4487</v>
      </c>
      <c r="C2772" s="10" t="s">
        <v>2745</v>
      </c>
    </row>
    <row r="2773" spans="1:3" s="10" customFormat="1" x14ac:dyDescent="0.25">
      <c r="A2773" s="10" t="str">
        <f>"0611862561100"</f>
        <v>0611862561100</v>
      </c>
      <c r="B2773" s="10" t="str">
        <f>"CN5404"</f>
        <v>CN5404</v>
      </c>
      <c r="C2773" s="10" t="s">
        <v>2746</v>
      </c>
    </row>
    <row r="2774" spans="1:3" s="10" customFormat="1" x14ac:dyDescent="0.25">
      <c r="A2774" s="10" t="str">
        <f>"0611862571100"</f>
        <v>0611862571100</v>
      </c>
      <c r="B2774" s="10" t="str">
        <f>"CN5408"</f>
        <v>CN5408</v>
      </c>
      <c r="C2774" s="10" t="s">
        <v>1639</v>
      </c>
    </row>
    <row r="2775" spans="1:3" s="10" customFormat="1" x14ac:dyDescent="0.25">
      <c r="A2775" s="10" t="str">
        <f>"0611862563100"</f>
        <v>0611862563100</v>
      </c>
      <c r="B2775" s="10" t="str">
        <f>"CN5401"</f>
        <v>CN5401</v>
      </c>
      <c r="C2775" s="10" t="s">
        <v>2747</v>
      </c>
    </row>
    <row r="2776" spans="1:3" s="10" customFormat="1" x14ac:dyDescent="0.25">
      <c r="A2776" s="10" t="str">
        <f>"0611862564100"</f>
        <v>0611862564100</v>
      </c>
      <c r="B2776" s="10" t="str">
        <f>"CN5402"</f>
        <v>CN5402</v>
      </c>
      <c r="C2776" s="10" t="s">
        <v>2748</v>
      </c>
    </row>
    <row r="2777" spans="1:3" s="10" customFormat="1" x14ac:dyDescent="0.25">
      <c r="A2777" s="10" t="str">
        <f>"0611862565100"</f>
        <v>0611862565100</v>
      </c>
      <c r="B2777" s="10" t="str">
        <f>"CN5403"</f>
        <v>CN5403</v>
      </c>
      <c r="C2777" s="10" t="s">
        <v>2749</v>
      </c>
    </row>
    <row r="2778" spans="1:3" s="10" customFormat="1" x14ac:dyDescent="0.25">
      <c r="A2778" s="10" t="str">
        <f>"0611862566100"</f>
        <v>0611862566100</v>
      </c>
      <c r="B2778" s="10" t="str">
        <f>"CN5407"</f>
        <v>CN5407</v>
      </c>
      <c r="C2778" s="10" t="s">
        <v>2750</v>
      </c>
    </row>
    <row r="2779" spans="1:3" s="10" customFormat="1" x14ac:dyDescent="0.25">
      <c r="A2779" s="10" t="str">
        <f>"0611862568100"</f>
        <v>0611862568100</v>
      </c>
      <c r="B2779" s="10" t="str">
        <f>"CN5405"</f>
        <v>CN5405</v>
      </c>
      <c r="C2779" s="10" t="s">
        <v>2751</v>
      </c>
    </row>
    <row r="2780" spans="1:3" s="10" customFormat="1" x14ac:dyDescent="0.25">
      <c r="A2780" s="10" t="str">
        <f>"0611862569050"</f>
        <v>0611862569050</v>
      </c>
      <c r="B2780" s="10" t="str">
        <f>"CR4489"</f>
        <v>CR4489</v>
      </c>
      <c r="C2780" s="10" t="s">
        <v>2752</v>
      </c>
    </row>
    <row r="2781" spans="1:3" s="10" customFormat="1" x14ac:dyDescent="0.25">
      <c r="A2781" s="10" t="str">
        <f>"0611862570100"</f>
        <v>0611862570100</v>
      </c>
      <c r="B2781" s="10" t="str">
        <f>"CN2392"</f>
        <v>CN2392</v>
      </c>
      <c r="C2781" s="10" t="s">
        <v>2753</v>
      </c>
    </row>
    <row r="2782" spans="1:3" s="10" customFormat="1" x14ac:dyDescent="0.25">
      <c r="A2782" s="10" t="str">
        <f>"0611862567100"</f>
        <v>0611862567100</v>
      </c>
      <c r="B2782" s="10" t="str">
        <f>"CN5406"</f>
        <v>CN5406</v>
      </c>
      <c r="C2782" s="10" t="s">
        <v>2754</v>
      </c>
    </row>
    <row r="2783" spans="1:3" s="10" customFormat="1" x14ac:dyDescent="0.25">
      <c r="A2783" s="10" t="str">
        <f>"0611864109050"</f>
        <v>0611864109050</v>
      </c>
      <c r="B2783" s="10" t="str">
        <f>"CR4633"</f>
        <v>CR4633</v>
      </c>
      <c r="C2783" s="10" t="s">
        <v>2755</v>
      </c>
    </row>
    <row r="2784" spans="1:3" s="10" customFormat="1" x14ac:dyDescent="0.25">
      <c r="A2784" s="10" t="str">
        <f>"0611864112050"</f>
        <v>0611864112050</v>
      </c>
      <c r="B2784" s="10" t="str">
        <f>"CR5252"</f>
        <v>CR5252</v>
      </c>
      <c r="C2784" s="10" t="s">
        <v>2756</v>
      </c>
    </row>
    <row r="2785" spans="1:3" s="10" customFormat="1" x14ac:dyDescent="0.25">
      <c r="A2785" s="10" t="str">
        <f>"0611864114050"</f>
        <v>0611864114050</v>
      </c>
      <c r="B2785" s="10" t="str">
        <f>"CR3157"</f>
        <v>CR3157</v>
      </c>
      <c r="C2785" s="10" t="s">
        <v>2757</v>
      </c>
    </row>
    <row r="2786" spans="1:3" s="10" customFormat="1" x14ac:dyDescent="0.25">
      <c r="A2786" s="10" t="str">
        <f>"0611864116050"</f>
        <v>0611864116050</v>
      </c>
      <c r="B2786" s="10" t="str">
        <f>"CR3158"</f>
        <v>CR3158</v>
      </c>
      <c r="C2786" s="10" t="s">
        <v>2758</v>
      </c>
    </row>
    <row r="2787" spans="1:3" s="10" customFormat="1" x14ac:dyDescent="0.25">
      <c r="A2787" s="10" t="str">
        <f>"0611864117050"</f>
        <v>0611864117050</v>
      </c>
      <c r="B2787" s="10" t="str">
        <f>"CR3159"</f>
        <v>CR3159</v>
      </c>
      <c r="C2787" s="10" t="s">
        <v>2759</v>
      </c>
    </row>
    <row r="2788" spans="1:3" s="10" customFormat="1" x14ac:dyDescent="0.25">
      <c r="A2788" s="10" t="str">
        <f>"0611864119050"</f>
        <v>0611864119050</v>
      </c>
      <c r="B2788" s="10" t="str">
        <f>"CR2760"</f>
        <v>CR2760</v>
      </c>
      <c r="C2788" s="10" t="s">
        <v>2761</v>
      </c>
    </row>
    <row r="2789" spans="1:3" s="10" customFormat="1" x14ac:dyDescent="0.25">
      <c r="A2789" s="10" t="str">
        <f>"0611864118050"</f>
        <v>0611864118050</v>
      </c>
      <c r="B2789" s="10" t="str">
        <f>"CR3918"</f>
        <v>CR3918</v>
      </c>
      <c r="C2789" s="10" t="s">
        <v>2760</v>
      </c>
    </row>
    <row r="2790" spans="1:3" s="10" customFormat="1" x14ac:dyDescent="0.25">
      <c r="A2790" s="10" t="str">
        <f>"0611864120050"</f>
        <v>0611864120050</v>
      </c>
      <c r="B2790" s="10" t="str">
        <f>"CR3160"</f>
        <v>CR3160</v>
      </c>
      <c r="C2790" s="10" t="s">
        <v>2762</v>
      </c>
    </row>
    <row r="2791" spans="1:3" s="10" customFormat="1" x14ac:dyDescent="0.25">
      <c r="A2791" s="10" t="str">
        <f>"0611864121050"</f>
        <v>0611864121050</v>
      </c>
      <c r="B2791" s="10" t="str">
        <f>"CR3021"</f>
        <v>CR3021</v>
      </c>
      <c r="C2791" s="10" t="s">
        <v>2763</v>
      </c>
    </row>
    <row r="2792" spans="1:3" s="10" customFormat="1" x14ac:dyDescent="0.25">
      <c r="A2792" s="10" t="str">
        <f>"0611906597050"</f>
        <v>0611906597050</v>
      </c>
      <c r="B2792" s="10" t="str">
        <f>"CR5515"</f>
        <v>CR5515</v>
      </c>
      <c r="C2792" s="10" t="s">
        <v>2764</v>
      </c>
    </row>
    <row r="2793" spans="1:3" s="10" customFormat="1" x14ac:dyDescent="0.25">
      <c r="A2793" s="10" t="str">
        <f>"0611864122050"</f>
        <v>0611864122050</v>
      </c>
      <c r="B2793" s="10" t="str">
        <f>"CR5019"</f>
        <v>CR5019</v>
      </c>
      <c r="C2793" s="10" t="s">
        <v>2765</v>
      </c>
    </row>
    <row r="2794" spans="1:3" s="10" customFormat="1" x14ac:dyDescent="0.25">
      <c r="A2794" s="10" t="str">
        <f>"0611864123050"</f>
        <v>0611864123050</v>
      </c>
      <c r="B2794" s="10" t="str">
        <f>"CR2758"</f>
        <v>CR2758</v>
      </c>
      <c r="C2794" s="10" t="s">
        <v>2766</v>
      </c>
    </row>
    <row r="2795" spans="1:3" s="10" customFormat="1" x14ac:dyDescent="0.25">
      <c r="A2795" s="10" t="str">
        <f>"0611864125050"</f>
        <v>0611864125050</v>
      </c>
      <c r="B2795" s="10" t="str">
        <f>"CR3161"</f>
        <v>CR3161</v>
      </c>
      <c r="C2795" s="10" t="s">
        <v>2767</v>
      </c>
    </row>
    <row r="2796" spans="1:3" s="10" customFormat="1" x14ac:dyDescent="0.25">
      <c r="A2796" s="10" t="str">
        <f>"0611864127050"</f>
        <v>0611864127050</v>
      </c>
      <c r="B2796" s="10" t="str">
        <f>"CR3022"</f>
        <v>CR3022</v>
      </c>
      <c r="C2796" s="10" t="s">
        <v>2768</v>
      </c>
    </row>
    <row r="2797" spans="1:3" s="10" customFormat="1" x14ac:dyDescent="0.25">
      <c r="A2797" s="10" t="str">
        <f>"0611906598050"</f>
        <v>0611906598050</v>
      </c>
      <c r="B2797" s="10" t="str">
        <f>"CR5517"</f>
        <v>CR5517</v>
      </c>
      <c r="C2797" s="10" t="s">
        <v>2769</v>
      </c>
    </row>
    <row r="2798" spans="1:3" s="10" customFormat="1" x14ac:dyDescent="0.25">
      <c r="A2798" s="10" t="str">
        <f>"0611864128050"</f>
        <v>0611864128050</v>
      </c>
      <c r="B2798" s="10" t="str">
        <f>"CR2759"</f>
        <v>CR2759</v>
      </c>
      <c r="C2798" s="10" t="s">
        <v>2770</v>
      </c>
    </row>
    <row r="2799" spans="1:3" s="10" customFormat="1" x14ac:dyDescent="0.25">
      <c r="A2799" s="10" t="str">
        <f>"0611864129050"</f>
        <v>0611864129050</v>
      </c>
      <c r="B2799" s="10" t="str">
        <f>"CR3164"</f>
        <v>CR3164</v>
      </c>
      <c r="C2799" s="10" t="s">
        <v>2771</v>
      </c>
    </row>
    <row r="2800" spans="1:3" s="10" customFormat="1" x14ac:dyDescent="0.25">
      <c r="A2800" s="10" t="str">
        <f>"0611864130050"</f>
        <v>0611864130050</v>
      </c>
      <c r="B2800" s="10" t="str">
        <f>"CR2571"</f>
        <v>CR2571</v>
      </c>
      <c r="C2800" s="10" t="s">
        <v>2772</v>
      </c>
    </row>
    <row r="2801" spans="1:3" s="10" customFormat="1" x14ac:dyDescent="0.25">
      <c r="A2801" s="10" t="str">
        <f>"0611864131050"</f>
        <v>0611864131050</v>
      </c>
      <c r="B2801" s="10" t="str">
        <f>"CR2572"</f>
        <v>CR2572</v>
      </c>
      <c r="C2801" s="10" t="s">
        <v>2773</v>
      </c>
    </row>
    <row r="2802" spans="1:3" s="10" customFormat="1" x14ac:dyDescent="0.25">
      <c r="A2802" s="10" t="str">
        <f>"0611864132050"</f>
        <v>0611864132050</v>
      </c>
      <c r="B2802" s="10" t="str">
        <f>"CR2573"</f>
        <v>CR2573</v>
      </c>
      <c r="C2802" s="10" t="s">
        <v>2774</v>
      </c>
    </row>
    <row r="2803" spans="1:3" s="10" customFormat="1" x14ac:dyDescent="0.25">
      <c r="A2803" s="10" t="str">
        <f>"0611864133050"</f>
        <v>0611864133050</v>
      </c>
      <c r="B2803" s="10" t="str">
        <f>"CR2574"</f>
        <v>CR2574</v>
      </c>
      <c r="C2803" s="10" t="s">
        <v>2775</v>
      </c>
    </row>
    <row r="2804" spans="1:3" s="10" customFormat="1" x14ac:dyDescent="0.25">
      <c r="A2804" s="10" t="str">
        <f>"0611864134050"</f>
        <v>0611864134050</v>
      </c>
      <c r="B2804" s="10" t="str">
        <f>"CR2761"</f>
        <v>CR2761</v>
      </c>
      <c r="C2804" s="10" t="s">
        <v>2776</v>
      </c>
    </row>
    <row r="2805" spans="1:3" s="10" customFormat="1" x14ac:dyDescent="0.25">
      <c r="A2805" s="10" t="str">
        <f>"0611864136050"</f>
        <v>0611864136050</v>
      </c>
      <c r="B2805" s="10" t="str">
        <f>"CR2762"</f>
        <v>CR2762</v>
      </c>
      <c r="C2805" s="10" t="s">
        <v>2777</v>
      </c>
    </row>
    <row r="2806" spans="1:3" s="10" customFormat="1" x14ac:dyDescent="0.25">
      <c r="A2806" s="10" t="str">
        <f>"0611864138050"</f>
        <v>0611864138050</v>
      </c>
      <c r="B2806" s="10" t="str">
        <f>"CR2763"</f>
        <v>CR2763</v>
      </c>
      <c r="C2806" s="10" t="s">
        <v>2778</v>
      </c>
    </row>
    <row r="2807" spans="1:3" s="10" customFormat="1" x14ac:dyDescent="0.25">
      <c r="A2807" s="10" t="str">
        <f>"0611864141050"</f>
        <v>0611864141050</v>
      </c>
      <c r="B2807" s="10" t="str">
        <f>"CR2764"</f>
        <v>CR2764</v>
      </c>
      <c r="C2807" s="10" t="s">
        <v>2779</v>
      </c>
    </row>
    <row r="2808" spans="1:3" s="10" customFormat="1" x14ac:dyDescent="0.25">
      <c r="A2808" s="10" t="str">
        <f>"0611906599050"</f>
        <v>0611906599050</v>
      </c>
      <c r="B2808" s="10" t="str">
        <f>"CR5518"</f>
        <v>CR5518</v>
      </c>
      <c r="C2808" s="10" t="s">
        <v>2780</v>
      </c>
    </row>
    <row r="2809" spans="1:3" s="10" customFormat="1" x14ac:dyDescent="0.25">
      <c r="A2809" s="10" t="str">
        <f>"0611864142050"</f>
        <v>0611864142050</v>
      </c>
      <c r="B2809" s="10" t="str">
        <f>"CR3744"</f>
        <v>CR3744</v>
      </c>
      <c r="C2809" s="10" t="s">
        <v>2781</v>
      </c>
    </row>
    <row r="2810" spans="1:3" s="10" customFormat="1" x14ac:dyDescent="0.25">
      <c r="A2810" s="10" t="str">
        <f>"0611864145050"</f>
        <v>0611864145050</v>
      </c>
      <c r="B2810" s="10" t="str">
        <f>"CR4057"</f>
        <v>CR4057</v>
      </c>
      <c r="C2810" s="10" t="s">
        <v>2784</v>
      </c>
    </row>
    <row r="2811" spans="1:3" s="10" customFormat="1" x14ac:dyDescent="0.25">
      <c r="A2811" s="10" t="str">
        <f>"0611864143050"</f>
        <v>0611864143050</v>
      </c>
      <c r="B2811" s="10" t="str">
        <f>"CR4058"</f>
        <v>CR4058</v>
      </c>
      <c r="C2811" s="10" t="s">
        <v>2782</v>
      </c>
    </row>
    <row r="2812" spans="1:3" s="10" customFormat="1" x14ac:dyDescent="0.25">
      <c r="A2812" s="10" t="str">
        <f>"0611864144050"</f>
        <v>0611864144050</v>
      </c>
      <c r="B2812" s="10" t="str">
        <f>"CR4059"</f>
        <v>CR4059</v>
      </c>
      <c r="C2812" s="10" t="s">
        <v>2783</v>
      </c>
    </row>
    <row r="2813" spans="1:3" s="10" customFormat="1" x14ac:dyDescent="0.25">
      <c r="A2813" s="10" t="str">
        <f>"0611864146050"</f>
        <v>0611864146050</v>
      </c>
      <c r="B2813" s="10" t="str">
        <f>"CR5247"</f>
        <v>CR5247</v>
      </c>
      <c r="C2813" s="10" t="s">
        <v>2785</v>
      </c>
    </row>
    <row r="2814" spans="1:3" s="10" customFormat="1" x14ac:dyDescent="0.25">
      <c r="A2814" s="10" t="str">
        <f>"0611864147050"</f>
        <v>0611864147050</v>
      </c>
      <c r="B2814" s="10" t="str">
        <f>"CR5248"</f>
        <v>CR5248</v>
      </c>
      <c r="C2814" s="10" t="s">
        <v>2786</v>
      </c>
    </row>
    <row r="2815" spans="1:3" s="10" customFormat="1" x14ac:dyDescent="0.25">
      <c r="A2815" s="10" t="str">
        <f>"0611906600050"</f>
        <v>0611906600050</v>
      </c>
      <c r="B2815" s="10" t="str">
        <f>"CR5519"</f>
        <v>CR5519</v>
      </c>
      <c r="C2815" s="10" t="s">
        <v>2787</v>
      </c>
    </row>
    <row r="2816" spans="1:3" s="10" customFormat="1" x14ac:dyDescent="0.25">
      <c r="A2816" s="10" t="str">
        <f>"0611906601050"</f>
        <v>0611906601050</v>
      </c>
      <c r="B2816" s="10" t="str">
        <f>"CR5520"</f>
        <v>CR5520</v>
      </c>
      <c r="C2816" s="10" t="s">
        <v>2788</v>
      </c>
    </row>
    <row r="2817" spans="1:3" s="10" customFormat="1" x14ac:dyDescent="0.25">
      <c r="A2817" s="10" t="str">
        <f>"0611906602050"</f>
        <v>0611906602050</v>
      </c>
      <c r="B2817" s="10" t="str">
        <f>"CR5521"</f>
        <v>CR5521</v>
      </c>
      <c r="C2817" s="10" t="s">
        <v>2789</v>
      </c>
    </row>
    <row r="2818" spans="1:3" s="10" customFormat="1" x14ac:dyDescent="0.25">
      <c r="A2818" s="10" t="str">
        <f>"0611906603050"</f>
        <v>0611906603050</v>
      </c>
      <c r="B2818" s="10" t="str">
        <f>"CR5522"</f>
        <v>CR5522</v>
      </c>
      <c r="C2818" s="10" t="s">
        <v>2790</v>
      </c>
    </row>
    <row r="2819" spans="1:3" s="10" customFormat="1" x14ac:dyDescent="0.25">
      <c r="A2819" s="10" t="str">
        <f>"0611864148050"</f>
        <v>0611864148050</v>
      </c>
      <c r="B2819" s="10" t="str">
        <f>"CR3745"</f>
        <v>CR3745</v>
      </c>
      <c r="C2819" s="10" t="s">
        <v>2791</v>
      </c>
    </row>
    <row r="2820" spans="1:3" s="10" customFormat="1" x14ac:dyDescent="0.25">
      <c r="A2820" s="10" t="str">
        <f>"0611864149050"</f>
        <v>0611864149050</v>
      </c>
      <c r="B2820" s="10" t="str">
        <f>"CR3746"</f>
        <v>CR3746</v>
      </c>
      <c r="C2820" s="10" t="s">
        <v>2792</v>
      </c>
    </row>
    <row r="2821" spans="1:3" s="10" customFormat="1" x14ac:dyDescent="0.25">
      <c r="A2821" s="10" t="str">
        <f>"0611864150050"</f>
        <v>0611864150050</v>
      </c>
      <c r="B2821" s="10" t="str">
        <f>"CR3747"</f>
        <v>CR3747</v>
      </c>
      <c r="C2821" s="10" t="s">
        <v>2793</v>
      </c>
    </row>
    <row r="2822" spans="1:3" s="10" customFormat="1" x14ac:dyDescent="0.25">
      <c r="A2822" s="10" t="str">
        <f>"0611864151050"</f>
        <v>0611864151050</v>
      </c>
      <c r="B2822" s="10" t="str">
        <f>"CR3748"</f>
        <v>CR3748</v>
      </c>
      <c r="C2822" s="10" t="s">
        <v>2794</v>
      </c>
    </row>
    <row r="2823" spans="1:3" s="10" customFormat="1" x14ac:dyDescent="0.25">
      <c r="A2823" s="10" t="str">
        <f>"0611864152050"</f>
        <v>0611864152050</v>
      </c>
      <c r="B2823" s="10" t="str">
        <f>"CR4877"</f>
        <v>CR4877</v>
      </c>
      <c r="C2823" s="10" t="s">
        <v>2795</v>
      </c>
    </row>
    <row r="2824" spans="1:3" s="10" customFormat="1" x14ac:dyDescent="0.25">
      <c r="A2824" s="10" t="str">
        <f>"0611864153050"</f>
        <v>0611864153050</v>
      </c>
      <c r="B2824" s="10" t="str">
        <f>"CR3749"</f>
        <v>CR3749</v>
      </c>
      <c r="C2824" s="10" t="s">
        <v>2796</v>
      </c>
    </row>
    <row r="2825" spans="1:3" s="10" customFormat="1" x14ac:dyDescent="0.25">
      <c r="A2825" s="10" t="str">
        <f>"0611864156050"</f>
        <v>0611864156050</v>
      </c>
      <c r="B2825" s="10" t="str">
        <f>"CR4060"</f>
        <v>CR4060</v>
      </c>
      <c r="C2825" s="10" t="s">
        <v>2797</v>
      </c>
    </row>
    <row r="2826" spans="1:3" s="10" customFormat="1" x14ac:dyDescent="0.25">
      <c r="A2826" s="10" t="str">
        <f>"0611864157050"</f>
        <v>0611864157050</v>
      </c>
      <c r="B2826" s="10" t="str">
        <f>"CR5020"</f>
        <v>CR5020</v>
      </c>
      <c r="C2826" s="10" t="s">
        <v>2798</v>
      </c>
    </row>
    <row r="2827" spans="1:3" s="10" customFormat="1" x14ac:dyDescent="0.25">
      <c r="A2827" s="10" t="str">
        <f>"0611864158050"</f>
        <v>0611864158050</v>
      </c>
      <c r="B2827" s="10" t="str">
        <f>"CR3576"</f>
        <v>CR3576</v>
      </c>
      <c r="C2827" s="10" t="s">
        <v>2799</v>
      </c>
    </row>
    <row r="2828" spans="1:3" s="10" customFormat="1" x14ac:dyDescent="0.25">
      <c r="A2828" s="10" t="str">
        <f>"0611864159050"</f>
        <v>0611864159050</v>
      </c>
      <c r="B2828" s="10" t="str">
        <f>"CR4061"</f>
        <v>CR4061</v>
      </c>
      <c r="C2828" s="10" t="s">
        <v>2800</v>
      </c>
    </row>
    <row r="2829" spans="1:3" s="10" customFormat="1" x14ac:dyDescent="0.25">
      <c r="A2829" s="10" t="str">
        <f>"0611864160050"</f>
        <v>0611864160050</v>
      </c>
      <c r="B2829" s="10" t="str">
        <f>"CR4062"</f>
        <v>CR4062</v>
      </c>
      <c r="C2829" s="10" t="s">
        <v>2801</v>
      </c>
    </row>
    <row r="2830" spans="1:3" s="10" customFormat="1" x14ac:dyDescent="0.25">
      <c r="A2830" s="10" t="str">
        <f>"0611864161050"</f>
        <v>0611864161050</v>
      </c>
      <c r="B2830" s="10" t="str">
        <f>"CR4870"</f>
        <v>CR4870</v>
      </c>
      <c r="C2830" s="10" t="s">
        <v>2802</v>
      </c>
    </row>
    <row r="2831" spans="1:3" s="10" customFormat="1" x14ac:dyDescent="0.25">
      <c r="A2831" s="10" t="str">
        <f>"0611864162050"</f>
        <v>0611864162050</v>
      </c>
      <c r="B2831" s="10" t="str">
        <f>"CR3389"</f>
        <v>CR3389</v>
      </c>
      <c r="C2831" s="10" t="s">
        <v>2803</v>
      </c>
    </row>
    <row r="2832" spans="1:3" s="10" customFormat="1" x14ac:dyDescent="0.25">
      <c r="A2832" s="10" t="str">
        <f>"0611864163050"</f>
        <v>0611864163050</v>
      </c>
      <c r="B2832" s="10" t="str">
        <f>"CR3273"</f>
        <v>CR3273</v>
      </c>
      <c r="C2832" s="10" t="s">
        <v>2804</v>
      </c>
    </row>
    <row r="2833" spans="1:3" s="10" customFormat="1" x14ac:dyDescent="0.25">
      <c r="A2833" s="10" t="str">
        <f>"0611864164050"</f>
        <v>0611864164050</v>
      </c>
      <c r="B2833" s="10" t="str">
        <f>"CR3392"</f>
        <v>CR3392</v>
      </c>
      <c r="C2833" s="10" t="s">
        <v>2805</v>
      </c>
    </row>
    <row r="2834" spans="1:3" s="10" customFormat="1" x14ac:dyDescent="0.25">
      <c r="A2834" s="10" t="str">
        <f>"0611864165050"</f>
        <v>0611864165050</v>
      </c>
      <c r="B2834" s="10" t="str">
        <f>"CR3407"</f>
        <v>CR3407</v>
      </c>
      <c r="C2834" s="10" t="s">
        <v>2806</v>
      </c>
    </row>
    <row r="2835" spans="1:3" s="10" customFormat="1" x14ac:dyDescent="0.25">
      <c r="A2835" s="10" t="str">
        <f>"0611864166050"</f>
        <v>0611864166050</v>
      </c>
      <c r="B2835" s="10" t="str">
        <f>"CR3275"</f>
        <v>CR3275</v>
      </c>
      <c r="C2835" s="10" t="s">
        <v>2807</v>
      </c>
    </row>
    <row r="2836" spans="1:3" s="10" customFormat="1" x14ac:dyDescent="0.25">
      <c r="A2836" s="10" t="str">
        <f>"0611864167050"</f>
        <v>0611864167050</v>
      </c>
      <c r="B2836" s="10" t="str">
        <f>"CR3276"</f>
        <v>CR3276</v>
      </c>
      <c r="C2836" s="10" t="s">
        <v>2808</v>
      </c>
    </row>
    <row r="2837" spans="1:3" s="10" customFormat="1" x14ac:dyDescent="0.25">
      <c r="A2837" s="10" t="str">
        <f>"0611864168050"</f>
        <v>0611864168050</v>
      </c>
      <c r="B2837" s="10" t="str">
        <f>"CR3577"</f>
        <v>CR3577</v>
      </c>
      <c r="C2837" s="10" t="s">
        <v>2809</v>
      </c>
    </row>
    <row r="2838" spans="1:3" s="10" customFormat="1" x14ac:dyDescent="0.25">
      <c r="A2838" s="10" t="str">
        <f>"0611864169050"</f>
        <v>0611864169050</v>
      </c>
      <c r="B2838" s="10" t="str">
        <f>"CR3393"</f>
        <v>CR3393</v>
      </c>
      <c r="C2838" s="10" t="s">
        <v>2810</v>
      </c>
    </row>
    <row r="2839" spans="1:3" s="10" customFormat="1" x14ac:dyDescent="0.25">
      <c r="A2839" s="10" t="str">
        <f>"0611864172100"</f>
        <v>0611864172100</v>
      </c>
      <c r="B2839" s="10" t="str">
        <f>"CN5409"</f>
        <v>CN5409</v>
      </c>
      <c r="C2839" s="10" t="s">
        <v>2811</v>
      </c>
    </row>
    <row r="2840" spans="1:3" s="10" customFormat="1" x14ac:dyDescent="0.25">
      <c r="A2840" s="10" t="str">
        <f>"0611864170050"</f>
        <v>0611864170050</v>
      </c>
      <c r="B2840" s="10" t="str">
        <f>"CR4493"</f>
        <v>CR4493</v>
      </c>
      <c r="C2840" s="10" t="s">
        <v>2812</v>
      </c>
    </row>
    <row r="2841" spans="1:3" s="10" customFormat="1" x14ac:dyDescent="0.25">
      <c r="A2841" s="10" t="str">
        <f>"0611864238050"</f>
        <v>0611864238050</v>
      </c>
      <c r="B2841" s="10" t="str">
        <f>"CR3023"</f>
        <v>CR3023</v>
      </c>
      <c r="C2841" s="10" t="s">
        <v>2813</v>
      </c>
    </row>
    <row r="2842" spans="1:3" s="10" customFormat="1" x14ac:dyDescent="0.25">
      <c r="A2842" s="10" t="str">
        <f>"0611864239050"</f>
        <v>0611864239050</v>
      </c>
      <c r="B2842" s="10" t="str">
        <f>"CR3395"</f>
        <v>CR3395</v>
      </c>
      <c r="C2842" s="10" t="s">
        <v>2814</v>
      </c>
    </row>
    <row r="2843" spans="1:3" s="10" customFormat="1" x14ac:dyDescent="0.25">
      <c r="A2843" s="10" t="str">
        <f>"0611864240050"</f>
        <v>0611864240050</v>
      </c>
      <c r="B2843" s="10" t="str">
        <f>"CR3296"</f>
        <v>CR3296</v>
      </c>
      <c r="C2843" s="10" t="s">
        <v>2815</v>
      </c>
    </row>
    <row r="2844" spans="1:3" s="10" customFormat="1" x14ac:dyDescent="0.25">
      <c r="A2844" s="10" t="str">
        <f>"0611864241050"</f>
        <v>0611864241050</v>
      </c>
      <c r="B2844" s="10" t="str">
        <f>"CR3582"</f>
        <v>CR3582</v>
      </c>
      <c r="C2844" s="10" t="s">
        <v>2816</v>
      </c>
    </row>
    <row r="2845" spans="1:3" s="10" customFormat="1" x14ac:dyDescent="0.25">
      <c r="A2845" s="10" t="str">
        <f>"0611864248050"</f>
        <v>0611864248050</v>
      </c>
      <c r="B2845" s="10" t="str">
        <f>"CR3409"</f>
        <v>CR3409</v>
      </c>
      <c r="C2845" s="10" t="s">
        <v>2817</v>
      </c>
    </row>
    <row r="2846" spans="1:3" s="10" customFormat="1" x14ac:dyDescent="0.25">
      <c r="A2846" s="10" t="str">
        <f>"0611864249050"</f>
        <v>0611864249050</v>
      </c>
      <c r="B2846" s="10" t="str">
        <f>"CR4063"</f>
        <v>CR4063</v>
      </c>
      <c r="C2846" s="10" t="s">
        <v>2818</v>
      </c>
    </row>
    <row r="2847" spans="1:3" s="10" customFormat="1" x14ac:dyDescent="0.25">
      <c r="A2847" s="10" t="str">
        <f>"0611864250050"</f>
        <v>0611864250050</v>
      </c>
      <c r="B2847" s="10" t="str">
        <f>"CR4064"</f>
        <v>CR4064</v>
      </c>
      <c r="C2847" s="10" t="s">
        <v>2819</v>
      </c>
    </row>
    <row r="2848" spans="1:3" s="10" customFormat="1" x14ac:dyDescent="0.25">
      <c r="A2848" s="10" t="str">
        <f>"0611864251050"</f>
        <v>0611864251050</v>
      </c>
      <c r="B2848" s="10" t="str">
        <f>"CR3578"</f>
        <v>CR3578</v>
      </c>
      <c r="C2848" s="10" t="s">
        <v>2820</v>
      </c>
    </row>
    <row r="2849" spans="1:3" s="10" customFormat="1" x14ac:dyDescent="0.25">
      <c r="A2849" s="10" t="str">
        <f>"0611864252050"</f>
        <v>0611864252050</v>
      </c>
      <c r="B2849" s="10" t="str">
        <f>"CR3025"</f>
        <v>CR3025</v>
      </c>
      <c r="C2849" s="10" t="s">
        <v>2821</v>
      </c>
    </row>
    <row r="2850" spans="1:3" s="10" customFormat="1" x14ac:dyDescent="0.25">
      <c r="A2850" s="10" t="str">
        <f>"0611864253050"</f>
        <v>0611864253050</v>
      </c>
      <c r="B2850" s="10" t="str">
        <f>"CR2580"</f>
        <v>CR2580</v>
      </c>
      <c r="C2850" s="10" t="s">
        <v>2822</v>
      </c>
    </row>
    <row r="2851" spans="1:3" s="10" customFormat="1" x14ac:dyDescent="0.25">
      <c r="A2851" s="10" t="str">
        <f>"0611864254050"</f>
        <v>0611864254050</v>
      </c>
      <c r="B2851" s="10" t="str">
        <f>"CR2581"</f>
        <v>CR2581</v>
      </c>
      <c r="C2851" s="10" t="s">
        <v>2823</v>
      </c>
    </row>
    <row r="2852" spans="1:3" s="10" customFormat="1" x14ac:dyDescent="0.25">
      <c r="A2852" s="10" t="str">
        <f>"0611864255050"</f>
        <v>0611864255050</v>
      </c>
      <c r="B2852" s="10" t="str">
        <f>"CR2582"</f>
        <v>CR2582</v>
      </c>
      <c r="C2852" s="10" t="s">
        <v>2824</v>
      </c>
    </row>
    <row r="2853" spans="1:3" s="10" customFormat="1" x14ac:dyDescent="0.25">
      <c r="A2853" s="10" t="str">
        <f>"0611864256050"</f>
        <v>0611864256050</v>
      </c>
      <c r="B2853" s="10" t="str">
        <f>"CR2583"</f>
        <v>CR2583</v>
      </c>
      <c r="C2853" s="10" t="s">
        <v>2825</v>
      </c>
    </row>
    <row r="2854" spans="1:3" s="10" customFormat="1" x14ac:dyDescent="0.25">
      <c r="A2854" s="10" t="str">
        <f>"0611884494050"</f>
        <v>0611884494050</v>
      </c>
      <c r="B2854" s="10" t="str">
        <f>"CR5408"</f>
        <v>CR5408</v>
      </c>
      <c r="C2854" s="10" t="s">
        <v>2826</v>
      </c>
    </row>
    <row r="2855" spans="1:3" s="10" customFormat="1" x14ac:dyDescent="0.25">
      <c r="A2855" s="10" t="str">
        <f>"0611864257050"</f>
        <v>0611864257050</v>
      </c>
      <c r="B2855" s="10" t="str">
        <f>"CR2765"</f>
        <v>CR2765</v>
      </c>
      <c r="C2855" s="10" t="s">
        <v>2827</v>
      </c>
    </row>
    <row r="2856" spans="1:3" s="10" customFormat="1" x14ac:dyDescent="0.25">
      <c r="A2856" s="10" t="str">
        <f>"0611864258050"</f>
        <v>0611864258050</v>
      </c>
      <c r="B2856" s="10" t="str">
        <f>"CR2766"</f>
        <v>CR2766</v>
      </c>
      <c r="C2856" s="10" t="s">
        <v>2828</v>
      </c>
    </row>
    <row r="2857" spans="1:3" s="10" customFormat="1" x14ac:dyDescent="0.25">
      <c r="A2857" s="10" t="str">
        <f>"0611864259050"</f>
        <v>0611864259050</v>
      </c>
      <c r="B2857" s="10" t="str">
        <f>"CR2769"</f>
        <v>CR2769</v>
      </c>
      <c r="C2857" s="10" t="s">
        <v>2829</v>
      </c>
    </row>
    <row r="2858" spans="1:3" s="10" customFormat="1" x14ac:dyDescent="0.25">
      <c r="A2858" s="10" t="str">
        <f>"0611864260050"</f>
        <v>0611864260050</v>
      </c>
      <c r="B2858" s="10" t="str">
        <f>"CR2584"</f>
        <v>CR2584</v>
      </c>
      <c r="C2858" s="10" t="s">
        <v>2830</v>
      </c>
    </row>
    <row r="2859" spans="1:3" s="10" customFormat="1" x14ac:dyDescent="0.25">
      <c r="A2859" s="10" t="str">
        <f>"0611864261100"</f>
        <v>0611864261100</v>
      </c>
      <c r="B2859" s="10" t="str">
        <f>"CN2393"</f>
        <v>CN2393</v>
      </c>
      <c r="C2859" s="10" t="s">
        <v>2831</v>
      </c>
    </row>
    <row r="2860" spans="1:3" s="10" customFormat="1" x14ac:dyDescent="0.25">
      <c r="A2860" s="10" t="str">
        <f>"0611864262100"</f>
        <v>0611864262100</v>
      </c>
      <c r="B2860" s="10" t="str">
        <f>"CN2394"</f>
        <v>CN2394</v>
      </c>
      <c r="C2860" s="10" t="s">
        <v>2832</v>
      </c>
    </row>
    <row r="2861" spans="1:3" s="10" customFormat="1" x14ac:dyDescent="0.25">
      <c r="A2861" s="10" t="str">
        <f>"0611893670100"</f>
        <v>0611893670100</v>
      </c>
      <c r="B2861" s="10" t="str">
        <f>"CN2479"</f>
        <v>CN2479</v>
      </c>
      <c r="C2861" s="10" t="s">
        <v>2833</v>
      </c>
    </row>
    <row r="2862" spans="1:3" s="10" customFormat="1" x14ac:dyDescent="0.25">
      <c r="A2862" s="10" t="str">
        <f>"0611893671100"</f>
        <v>0611893671100</v>
      </c>
      <c r="B2862" s="10" t="str">
        <f>"CN2480"</f>
        <v>CN2480</v>
      </c>
      <c r="C2862" s="10" t="s">
        <v>2834</v>
      </c>
    </row>
    <row r="2863" spans="1:3" s="10" customFormat="1" x14ac:dyDescent="0.25">
      <c r="A2863" s="10" t="str">
        <f>"0611893672100"</f>
        <v>0611893672100</v>
      </c>
      <c r="B2863" s="10" t="str">
        <f>"CN5462"</f>
        <v>CN5462</v>
      </c>
      <c r="C2863" s="10" t="s">
        <v>2835</v>
      </c>
    </row>
    <row r="2864" spans="1:3" s="10" customFormat="1" x14ac:dyDescent="0.25">
      <c r="A2864" s="10" t="str">
        <f>"0611893673100"</f>
        <v>0611893673100</v>
      </c>
      <c r="B2864" s="10" t="str">
        <f>"CN2481"</f>
        <v>CN2481</v>
      </c>
      <c r="C2864" s="10" t="s">
        <v>2836</v>
      </c>
    </row>
    <row r="2865" spans="1:3" s="10" customFormat="1" x14ac:dyDescent="0.25">
      <c r="A2865" s="10" t="str">
        <f>"0611864279050"</f>
        <v>0611864279050</v>
      </c>
      <c r="B2865" s="10" t="str">
        <f>"CR4503"</f>
        <v>CR4503</v>
      </c>
      <c r="C2865" s="10" t="s">
        <v>2837</v>
      </c>
    </row>
    <row r="2866" spans="1:3" s="10" customFormat="1" x14ac:dyDescent="0.25">
      <c r="A2866" s="10" t="str">
        <f>"0611864280100"</f>
        <v>0611864280100</v>
      </c>
      <c r="B2866" s="10" t="str">
        <f>"CN5418"</f>
        <v>CN5418</v>
      </c>
      <c r="C2866" s="10" t="s">
        <v>2838</v>
      </c>
    </row>
    <row r="2867" spans="1:3" s="10" customFormat="1" x14ac:dyDescent="0.25">
      <c r="A2867" s="10" t="str">
        <f>"0611864282050"</f>
        <v>0611864282050</v>
      </c>
      <c r="B2867" s="10" t="str">
        <f>"CR4505"</f>
        <v>CR4505</v>
      </c>
      <c r="C2867" s="10" t="s">
        <v>2839</v>
      </c>
    </row>
    <row r="2868" spans="1:3" s="10" customFormat="1" x14ac:dyDescent="0.25">
      <c r="A2868" s="10" t="str">
        <f>"0611864285100"</f>
        <v>0611864285100</v>
      </c>
      <c r="B2868" s="10" t="str">
        <f>"CN5420"</f>
        <v>CN5420</v>
      </c>
      <c r="C2868" s="10" t="s">
        <v>2840</v>
      </c>
    </row>
    <row r="2869" spans="1:3" s="10" customFormat="1" x14ac:dyDescent="0.25">
      <c r="A2869" s="10" t="str">
        <f>"0611864286100"</f>
        <v>0611864286100</v>
      </c>
      <c r="B2869" s="10" t="str">
        <f>"CN5421"</f>
        <v>CN5421</v>
      </c>
      <c r="C2869" s="10" t="s">
        <v>2841</v>
      </c>
    </row>
    <row r="2870" spans="1:3" s="10" customFormat="1" x14ac:dyDescent="0.25">
      <c r="A2870" s="10" t="str">
        <f>"0611864287050"</f>
        <v>0611864287050</v>
      </c>
      <c r="B2870" s="10" t="str">
        <f>"CR4494"</f>
        <v>CR4494</v>
      </c>
      <c r="C2870" s="10" t="s">
        <v>2842</v>
      </c>
    </row>
    <row r="2871" spans="1:3" s="10" customFormat="1" x14ac:dyDescent="0.25">
      <c r="A2871" s="10" t="str">
        <f>"0611864288050"</f>
        <v>0611864288050</v>
      </c>
      <c r="B2871" s="10" t="str">
        <f>"CR4504"</f>
        <v>CR4504</v>
      </c>
      <c r="C2871" s="10" t="s">
        <v>2843</v>
      </c>
    </row>
    <row r="2872" spans="1:3" s="10" customFormat="1" x14ac:dyDescent="0.25">
      <c r="A2872" s="10" t="str">
        <f>"0611864298050"</f>
        <v>0611864298050</v>
      </c>
      <c r="B2872" s="10" t="str">
        <f>"CR3278"</f>
        <v>CR3278</v>
      </c>
      <c r="C2872" s="10" t="s">
        <v>2849</v>
      </c>
    </row>
    <row r="2873" spans="1:3" s="10" customFormat="1" x14ac:dyDescent="0.25">
      <c r="A2873" s="10" t="str">
        <f>"0611864295050"</f>
        <v>0611864295050</v>
      </c>
      <c r="B2873" s="10" t="str">
        <f>"CR3704"</f>
        <v>CR3704</v>
      </c>
      <c r="C2873" s="10" t="s">
        <v>2846</v>
      </c>
    </row>
    <row r="2874" spans="1:3" s="10" customFormat="1" x14ac:dyDescent="0.25">
      <c r="A2874" s="10" t="str">
        <f>"0611864297050"</f>
        <v>0611864297050</v>
      </c>
      <c r="B2874" s="10" t="str">
        <f>"CR2585"</f>
        <v>CR2585</v>
      </c>
      <c r="C2874" s="10" t="s">
        <v>2848</v>
      </c>
    </row>
    <row r="2875" spans="1:3" s="10" customFormat="1" x14ac:dyDescent="0.25">
      <c r="A2875" s="10" t="str">
        <f>"0611864302050"</f>
        <v>0611864302050</v>
      </c>
      <c r="B2875" s="10" t="str">
        <f>"CR2587"</f>
        <v>CR2587</v>
      </c>
      <c r="C2875" s="10" t="s">
        <v>2854</v>
      </c>
    </row>
    <row r="2876" spans="1:3" s="10" customFormat="1" x14ac:dyDescent="0.25">
      <c r="A2876" s="10" t="str">
        <f>"0611864303050"</f>
        <v>0611864303050</v>
      </c>
      <c r="B2876" s="10" t="str">
        <f>"CR3027"</f>
        <v>CR3027</v>
      </c>
      <c r="C2876" s="10" t="s">
        <v>2855</v>
      </c>
    </row>
    <row r="2877" spans="1:3" s="10" customFormat="1" x14ac:dyDescent="0.25">
      <c r="A2877" s="10" t="str">
        <f>"0611864289100"</f>
        <v>0611864289100</v>
      </c>
      <c r="B2877" s="10" t="str">
        <f>"CN2395"</f>
        <v>CN2395</v>
      </c>
      <c r="C2877" s="10" t="s">
        <v>2850</v>
      </c>
    </row>
    <row r="2878" spans="1:3" s="10" customFormat="1" x14ac:dyDescent="0.25">
      <c r="A2878" s="10" t="str">
        <f>"0611864290100"</f>
        <v>0611864290100</v>
      </c>
      <c r="B2878" s="10" t="str">
        <f>"CN5422"</f>
        <v>CN5422</v>
      </c>
      <c r="C2878" s="10" t="s">
        <v>2851</v>
      </c>
    </row>
    <row r="2879" spans="1:3" s="10" customFormat="1" x14ac:dyDescent="0.25">
      <c r="A2879" s="10" t="str">
        <f>"0611864292100"</f>
        <v>0611864292100</v>
      </c>
      <c r="B2879" s="10" t="str">
        <f>"CN5423"</f>
        <v>CN5423</v>
      </c>
      <c r="C2879" s="10" t="s">
        <v>2844</v>
      </c>
    </row>
    <row r="2880" spans="1:3" s="10" customFormat="1" x14ac:dyDescent="0.25">
      <c r="A2880" s="10" t="str">
        <f>"0611864294100"</f>
        <v>0611864294100</v>
      </c>
      <c r="B2880" s="10" t="str">
        <f>"CN5424"</f>
        <v>CN5424</v>
      </c>
      <c r="C2880" s="10" t="s">
        <v>2845</v>
      </c>
    </row>
    <row r="2881" spans="1:3" s="10" customFormat="1" x14ac:dyDescent="0.25">
      <c r="A2881" s="10" t="str">
        <f>"0611864296100"</f>
        <v>0611864296100</v>
      </c>
      <c r="B2881" s="10" t="str">
        <f>"CN5425"</f>
        <v>CN5425</v>
      </c>
      <c r="C2881" s="10" t="s">
        <v>2847</v>
      </c>
    </row>
    <row r="2882" spans="1:3" s="10" customFormat="1" x14ac:dyDescent="0.25">
      <c r="A2882" s="10" t="str">
        <f>"0611864300100"</f>
        <v>0611864300100</v>
      </c>
      <c r="B2882" s="10" t="str">
        <f>"CN5426"</f>
        <v>CN5426</v>
      </c>
      <c r="C2882" s="10" t="s">
        <v>2852</v>
      </c>
    </row>
    <row r="2883" spans="1:3" s="10" customFormat="1" x14ac:dyDescent="0.25">
      <c r="A2883" s="10" t="str">
        <f>"0611864301050"</f>
        <v>0611864301050</v>
      </c>
      <c r="B2883" s="10" t="str">
        <f>"CR4514"</f>
        <v>CR4514</v>
      </c>
      <c r="C2883" s="10" t="s">
        <v>2853</v>
      </c>
    </row>
    <row r="2884" spans="1:3" s="10" customFormat="1" x14ac:dyDescent="0.25">
      <c r="A2884" s="10" t="str">
        <f>"0611864325050"</f>
        <v>0611864325050</v>
      </c>
      <c r="B2884" s="10" t="str">
        <f>"CR4907"</f>
        <v>CR4907</v>
      </c>
      <c r="C2884" s="10" t="s">
        <v>2856</v>
      </c>
    </row>
    <row r="2885" spans="1:3" s="10" customFormat="1" x14ac:dyDescent="0.25">
      <c r="A2885" s="10" t="str">
        <f>"0611884519050"</f>
        <v>0611884519050</v>
      </c>
      <c r="B2885" s="10" t="str">
        <f>"CR5262"</f>
        <v>CR5262</v>
      </c>
      <c r="C2885" s="10" t="s">
        <v>2863</v>
      </c>
    </row>
    <row r="2886" spans="1:3" s="10" customFormat="1" x14ac:dyDescent="0.25">
      <c r="A2886" s="10" t="str">
        <f>"0611884520050"</f>
        <v>0611884520050</v>
      </c>
      <c r="B2886" s="10" t="str">
        <f>"CR5263"</f>
        <v>CR5263</v>
      </c>
      <c r="C2886" s="10" t="s">
        <v>2866</v>
      </c>
    </row>
    <row r="2887" spans="1:3" s="10" customFormat="1" x14ac:dyDescent="0.25">
      <c r="A2887" s="10" t="str">
        <f>"0611884521050"</f>
        <v>0611884521050</v>
      </c>
      <c r="B2887" s="10" t="str">
        <f>"CR5082"</f>
        <v>CR5082</v>
      </c>
      <c r="C2887" s="10" t="s">
        <v>2867</v>
      </c>
    </row>
    <row r="2888" spans="1:3" s="10" customFormat="1" x14ac:dyDescent="0.25">
      <c r="A2888" s="10" t="str">
        <f>"0611884522050"</f>
        <v>0611884522050</v>
      </c>
      <c r="B2888" s="10" t="str">
        <f>"CR5084"</f>
        <v>CR5084</v>
      </c>
      <c r="C2888" s="10" t="s">
        <v>2870</v>
      </c>
    </row>
    <row r="2889" spans="1:3" s="10" customFormat="1" x14ac:dyDescent="0.25">
      <c r="A2889" s="10" t="str">
        <f>"0611884523050"</f>
        <v>0611884523050</v>
      </c>
      <c r="B2889" s="10" t="str">
        <f>"CR5097"</f>
        <v>CR5097</v>
      </c>
      <c r="C2889" s="10" t="s">
        <v>2900</v>
      </c>
    </row>
    <row r="2890" spans="1:3" s="10" customFormat="1" x14ac:dyDescent="0.25">
      <c r="A2890" s="10" t="str">
        <f>"0611893678050"</f>
        <v>0611893678050</v>
      </c>
      <c r="B2890" s="10" t="str">
        <f>"CR5438"</f>
        <v>CR5438</v>
      </c>
      <c r="C2890" s="10" t="s">
        <v>2913</v>
      </c>
    </row>
    <row r="2891" spans="1:3" s="10" customFormat="1" x14ac:dyDescent="0.25">
      <c r="A2891" s="10" t="str">
        <f>"0611884524050"</f>
        <v>0611884524050</v>
      </c>
      <c r="B2891" s="10" t="str">
        <f>"CR5265"</f>
        <v>CR5265</v>
      </c>
      <c r="C2891" s="10" t="s">
        <v>2921</v>
      </c>
    </row>
    <row r="2892" spans="1:3" s="10" customFormat="1" x14ac:dyDescent="0.25">
      <c r="A2892" s="10" t="str">
        <f>"0611860942050"</f>
        <v>0611860942050</v>
      </c>
      <c r="B2892" s="10" t="str">
        <f>"CR4772"</f>
        <v>CR4772</v>
      </c>
      <c r="C2892" s="10" t="s">
        <v>2857</v>
      </c>
    </row>
    <row r="2893" spans="1:3" s="10" customFormat="1" x14ac:dyDescent="0.25">
      <c r="A2893" s="10" t="str">
        <f>"0611860943050"</f>
        <v>0611860943050</v>
      </c>
      <c r="B2893" s="10" t="str">
        <f>"CR4634"</f>
        <v>CR4634</v>
      </c>
      <c r="C2893" s="10" t="s">
        <v>2858</v>
      </c>
    </row>
    <row r="2894" spans="1:3" s="10" customFormat="1" x14ac:dyDescent="0.25">
      <c r="A2894" s="10" t="str">
        <f>"0611860944050"</f>
        <v>0611860944050</v>
      </c>
      <c r="B2894" s="10" t="str">
        <f>"CR5079"</f>
        <v>CR5079</v>
      </c>
      <c r="C2894" s="10" t="s">
        <v>2859</v>
      </c>
    </row>
    <row r="2895" spans="1:3" s="10" customFormat="1" x14ac:dyDescent="0.25">
      <c r="A2895" s="10" t="str">
        <f>"0611860945050"</f>
        <v>0611860945050</v>
      </c>
      <c r="B2895" s="10" t="str">
        <f>"CR4657"</f>
        <v>CR4657</v>
      </c>
      <c r="C2895" s="10" t="s">
        <v>2860</v>
      </c>
    </row>
    <row r="2896" spans="1:3" s="10" customFormat="1" x14ac:dyDescent="0.25">
      <c r="A2896" s="10" t="str">
        <f>"0611860946050"</f>
        <v>0611860946050</v>
      </c>
      <c r="B2896" s="10" t="str">
        <f>"CR4658"</f>
        <v>CR4658</v>
      </c>
      <c r="C2896" s="10" t="s">
        <v>2861</v>
      </c>
    </row>
    <row r="2897" spans="1:3" s="10" customFormat="1" x14ac:dyDescent="0.25">
      <c r="A2897" s="10" t="str">
        <f>"0611860948050"</f>
        <v>0611860948050</v>
      </c>
      <c r="B2897" s="10" t="str">
        <f>"CR4659"</f>
        <v>CR4659</v>
      </c>
      <c r="C2897" s="10" t="s">
        <v>2862</v>
      </c>
    </row>
    <row r="2898" spans="1:3" s="10" customFormat="1" x14ac:dyDescent="0.25">
      <c r="A2898" s="10" t="str">
        <f>"0611860949050"</f>
        <v>0611860949050</v>
      </c>
      <c r="B2898" s="10" t="str">
        <f>"CR4660"</f>
        <v>CR4660</v>
      </c>
      <c r="C2898" s="10" t="s">
        <v>2864</v>
      </c>
    </row>
    <row r="2899" spans="1:3" s="10" customFormat="1" x14ac:dyDescent="0.25">
      <c r="A2899" s="10" t="str">
        <f>"0611860950050"</f>
        <v>0611860950050</v>
      </c>
      <c r="B2899" s="10" t="str">
        <f>"CR4636"</f>
        <v>CR4636</v>
      </c>
      <c r="C2899" s="10" t="s">
        <v>2865</v>
      </c>
    </row>
    <row r="2900" spans="1:3" s="10" customFormat="1" x14ac:dyDescent="0.25">
      <c r="A2900" s="10" t="str">
        <f>"0611860952050"</f>
        <v>0611860952050</v>
      </c>
      <c r="B2900" s="10" t="str">
        <f>"CR4664"</f>
        <v>CR4664</v>
      </c>
      <c r="C2900" s="10" t="s">
        <v>2868</v>
      </c>
    </row>
    <row r="2901" spans="1:3" s="10" customFormat="1" x14ac:dyDescent="0.25">
      <c r="A2901" s="10" t="str">
        <f>"0611860953050"</f>
        <v>0611860953050</v>
      </c>
      <c r="B2901" s="10" t="str">
        <f>"CR5083"</f>
        <v>CR5083</v>
      </c>
      <c r="C2901" s="10" t="s">
        <v>2869</v>
      </c>
    </row>
    <row r="2902" spans="1:3" s="10" customFormat="1" x14ac:dyDescent="0.25">
      <c r="A2902" s="10" t="str">
        <f>"0611860954050"</f>
        <v>0611860954050</v>
      </c>
      <c r="B2902" s="10" t="str">
        <f>"CR4666"</f>
        <v>CR4666</v>
      </c>
      <c r="C2902" s="10" t="s">
        <v>2871</v>
      </c>
    </row>
    <row r="2903" spans="1:3" s="10" customFormat="1" x14ac:dyDescent="0.25">
      <c r="A2903" s="10" t="str">
        <f>"0611860955050"</f>
        <v>0611860955050</v>
      </c>
      <c r="B2903" s="10" t="str">
        <f>"CR4637"</f>
        <v>CR4637</v>
      </c>
      <c r="C2903" s="10" t="s">
        <v>2872</v>
      </c>
    </row>
    <row r="2904" spans="1:3" s="10" customFormat="1" x14ac:dyDescent="0.25">
      <c r="A2904" s="10" t="str">
        <f>"0611860956050"</f>
        <v>0611860956050</v>
      </c>
      <c r="B2904" s="10" t="str">
        <f>"CR4638"</f>
        <v>CR4638</v>
      </c>
      <c r="C2904" s="10" t="s">
        <v>2873</v>
      </c>
    </row>
    <row r="2905" spans="1:3" s="10" customFormat="1" x14ac:dyDescent="0.25">
      <c r="A2905" s="10" t="str">
        <f>"0611860957050"</f>
        <v>0611860957050</v>
      </c>
      <c r="B2905" s="10" t="str">
        <f>"CR5085"</f>
        <v>CR5085</v>
      </c>
      <c r="C2905" s="10" t="s">
        <v>2874</v>
      </c>
    </row>
    <row r="2906" spans="1:3" s="10" customFormat="1" x14ac:dyDescent="0.25">
      <c r="A2906" s="10" t="str">
        <f>"0611860958050"</f>
        <v>0611860958050</v>
      </c>
      <c r="B2906" s="10" t="str">
        <f>"CR5086"</f>
        <v>CR5086</v>
      </c>
      <c r="C2906" s="10" t="s">
        <v>2875</v>
      </c>
    </row>
    <row r="2907" spans="1:3" s="10" customFormat="1" x14ac:dyDescent="0.25">
      <c r="A2907" s="10" t="str">
        <f>"0611860959050"</f>
        <v>0611860959050</v>
      </c>
      <c r="B2907" s="10" t="str">
        <f>"CR4667"</f>
        <v>CR4667</v>
      </c>
      <c r="C2907" s="10" t="s">
        <v>2876</v>
      </c>
    </row>
    <row r="2908" spans="1:3" s="10" customFormat="1" x14ac:dyDescent="0.25">
      <c r="A2908" s="10" t="str">
        <f>"0611860960050"</f>
        <v>0611860960050</v>
      </c>
      <c r="B2908" s="10" t="str">
        <f>"CR5087"</f>
        <v>CR5087</v>
      </c>
      <c r="C2908" s="10" t="s">
        <v>2877</v>
      </c>
    </row>
    <row r="2909" spans="1:3" s="10" customFormat="1" x14ac:dyDescent="0.25">
      <c r="A2909" s="10" t="str">
        <f>"0611860961050"</f>
        <v>0611860961050</v>
      </c>
      <c r="B2909" s="10" t="str">
        <f>"CR5088"</f>
        <v>CR5088</v>
      </c>
      <c r="C2909" s="10" t="s">
        <v>2878</v>
      </c>
    </row>
    <row r="2910" spans="1:3" s="10" customFormat="1" x14ac:dyDescent="0.25">
      <c r="A2910" s="10" t="str">
        <f>"0611860962050"</f>
        <v>0611860962050</v>
      </c>
      <c r="B2910" s="10" t="str">
        <f>"CR4669"</f>
        <v>CR4669</v>
      </c>
      <c r="C2910" s="10" t="s">
        <v>2879</v>
      </c>
    </row>
    <row r="2911" spans="1:3" s="10" customFormat="1" x14ac:dyDescent="0.25">
      <c r="A2911" s="10" t="str">
        <f>"0611860964050"</f>
        <v>0611860964050</v>
      </c>
      <c r="B2911" s="10" t="str">
        <f>"CR4671"</f>
        <v>CR4671</v>
      </c>
      <c r="C2911" s="10" t="s">
        <v>2880</v>
      </c>
    </row>
    <row r="2912" spans="1:3" s="10" customFormat="1" x14ac:dyDescent="0.25">
      <c r="A2912" s="10" t="str">
        <f>"0611860965050"</f>
        <v>0611860965050</v>
      </c>
      <c r="B2912" s="10" t="str">
        <f>"CR4672"</f>
        <v>CR4672</v>
      </c>
      <c r="C2912" s="10" t="s">
        <v>2881</v>
      </c>
    </row>
    <row r="2913" spans="1:3" s="10" customFormat="1" x14ac:dyDescent="0.25">
      <c r="A2913" s="10" t="str">
        <f>"0611860966050"</f>
        <v>0611860966050</v>
      </c>
      <c r="B2913" s="10" t="str">
        <f>"CR5089"</f>
        <v>CR5089</v>
      </c>
      <c r="C2913" s="10" t="s">
        <v>2882</v>
      </c>
    </row>
    <row r="2914" spans="1:3" s="10" customFormat="1" x14ac:dyDescent="0.25">
      <c r="A2914" s="10" t="str">
        <f>"0611860967050"</f>
        <v>0611860967050</v>
      </c>
      <c r="B2914" s="10" t="str">
        <f>"CR4673"</f>
        <v>CR4673</v>
      </c>
      <c r="C2914" s="10" t="s">
        <v>2883</v>
      </c>
    </row>
    <row r="2915" spans="1:3" s="10" customFormat="1" x14ac:dyDescent="0.25">
      <c r="A2915" s="10" t="str">
        <f>"0611860968050"</f>
        <v>0611860968050</v>
      </c>
      <c r="B2915" s="10" t="str">
        <f>"CR4674"</f>
        <v>CR4674</v>
      </c>
      <c r="C2915" s="10" t="s">
        <v>2884</v>
      </c>
    </row>
    <row r="2916" spans="1:3" s="10" customFormat="1" x14ac:dyDescent="0.25">
      <c r="A2916" s="10" t="str">
        <f>"0611860969050"</f>
        <v>0611860969050</v>
      </c>
      <c r="B2916" s="10" t="str">
        <f>"CR5090"</f>
        <v>CR5090</v>
      </c>
      <c r="C2916" s="10" t="s">
        <v>2885</v>
      </c>
    </row>
    <row r="2917" spans="1:3" s="10" customFormat="1" x14ac:dyDescent="0.25">
      <c r="A2917" s="10" t="str">
        <f>"0611860970050"</f>
        <v>0611860970050</v>
      </c>
      <c r="B2917" s="10" t="str">
        <f>"CR5091"</f>
        <v>CR5091</v>
      </c>
      <c r="C2917" s="10" t="s">
        <v>2886</v>
      </c>
    </row>
    <row r="2918" spans="1:3" s="10" customFormat="1" x14ac:dyDescent="0.25">
      <c r="A2918" s="10" t="str">
        <f>"0611860971050"</f>
        <v>0611860971050</v>
      </c>
      <c r="B2918" s="10" t="str">
        <f>"CR4675"</f>
        <v>CR4675</v>
      </c>
      <c r="C2918" s="10" t="s">
        <v>2887</v>
      </c>
    </row>
    <row r="2919" spans="1:3" s="10" customFormat="1" x14ac:dyDescent="0.25">
      <c r="A2919" s="10" t="str">
        <f>"0611860972050"</f>
        <v>0611860972050</v>
      </c>
      <c r="B2919" s="10" t="str">
        <f>"CR4676"</f>
        <v>CR4676</v>
      </c>
      <c r="C2919" s="10" t="s">
        <v>2888</v>
      </c>
    </row>
    <row r="2920" spans="1:3" s="10" customFormat="1" x14ac:dyDescent="0.25">
      <c r="A2920" s="10" t="str">
        <f>"0611860973050"</f>
        <v>0611860973050</v>
      </c>
      <c r="B2920" s="10" t="str">
        <f>"CR4677"</f>
        <v>CR4677</v>
      </c>
      <c r="C2920" s="10" t="s">
        <v>2889</v>
      </c>
    </row>
    <row r="2921" spans="1:3" s="10" customFormat="1" x14ac:dyDescent="0.25">
      <c r="A2921" s="10" t="str">
        <f>"0611860974050"</f>
        <v>0611860974050</v>
      </c>
      <c r="B2921" s="10" t="str">
        <f>"CR4678"</f>
        <v>CR4678</v>
      </c>
      <c r="C2921" s="10" t="s">
        <v>2890</v>
      </c>
    </row>
    <row r="2922" spans="1:3" s="10" customFormat="1" x14ac:dyDescent="0.25">
      <c r="A2922" s="10" t="str">
        <f>"0611860975050"</f>
        <v>0611860975050</v>
      </c>
      <c r="B2922" s="10" t="str">
        <f>"CR4639"</f>
        <v>CR4639</v>
      </c>
      <c r="C2922" s="10" t="s">
        <v>2891</v>
      </c>
    </row>
    <row r="2923" spans="1:3" s="10" customFormat="1" x14ac:dyDescent="0.25">
      <c r="A2923" s="10" t="str">
        <f>"0611860976050"</f>
        <v>0611860976050</v>
      </c>
      <c r="B2923" s="10" t="str">
        <f>"CR4640"</f>
        <v>CR4640</v>
      </c>
      <c r="C2923" s="10" t="s">
        <v>2892</v>
      </c>
    </row>
    <row r="2924" spans="1:3" s="10" customFormat="1" x14ac:dyDescent="0.25">
      <c r="A2924" s="10" t="str">
        <f>"0611860977050"</f>
        <v>0611860977050</v>
      </c>
      <c r="B2924" s="10" t="str">
        <f>"CR4679"</f>
        <v>CR4679</v>
      </c>
      <c r="C2924" s="10" t="s">
        <v>2893</v>
      </c>
    </row>
    <row r="2925" spans="1:3" s="10" customFormat="1" x14ac:dyDescent="0.25">
      <c r="A2925" s="10" t="str">
        <f>"0611860978050"</f>
        <v>0611860978050</v>
      </c>
      <c r="B2925" s="10" t="str">
        <f>"CR5094"</f>
        <v>CR5094</v>
      </c>
      <c r="C2925" s="10" t="s">
        <v>2894</v>
      </c>
    </row>
    <row r="2926" spans="1:3" s="10" customFormat="1" x14ac:dyDescent="0.25">
      <c r="A2926" s="10" t="str">
        <f>"0611860979050"</f>
        <v>0611860979050</v>
      </c>
      <c r="B2926" s="10" t="str">
        <f>"CR4681"</f>
        <v>CR4681</v>
      </c>
      <c r="C2926" s="10" t="s">
        <v>2895</v>
      </c>
    </row>
    <row r="2927" spans="1:3" s="10" customFormat="1" x14ac:dyDescent="0.25">
      <c r="A2927" s="10" t="str">
        <f>"0611860980050"</f>
        <v>0611860980050</v>
      </c>
      <c r="B2927" s="10" t="str">
        <f>"CR4682"</f>
        <v>CR4682</v>
      </c>
      <c r="C2927" s="10" t="s">
        <v>2896</v>
      </c>
    </row>
    <row r="2928" spans="1:3" s="10" customFormat="1" x14ac:dyDescent="0.25">
      <c r="A2928" s="10" t="str">
        <f>"0611860981050"</f>
        <v>0611860981050</v>
      </c>
      <c r="B2928" s="10" t="str">
        <f>"CR4683"</f>
        <v>CR4683</v>
      </c>
      <c r="C2928" s="10" t="s">
        <v>2897</v>
      </c>
    </row>
    <row r="2929" spans="1:3" s="10" customFormat="1" x14ac:dyDescent="0.25">
      <c r="A2929" s="10" t="str">
        <f>"0611860982050"</f>
        <v>0611860982050</v>
      </c>
      <c r="B2929" s="10" t="str">
        <f>"CR4684"</f>
        <v>CR4684</v>
      </c>
      <c r="C2929" s="10" t="s">
        <v>2898</v>
      </c>
    </row>
    <row r="2930" spans="1:3" s="10" customFormat="1" x14ac:dyDescent="0.25">
      <c r="A2930" s="10" t="str">
        <f>"0611860983050"</f>
        <v>0611860983050</v>
      </c>
      <c r="B2930" s="10" t="str">
        <f>"CR5096"</f>
        <v>CR5096</v>
      </c>
      <c r="C2930" s="10" t="s">
        <v>2899</v>
      </c>
    </row>
    <row r="2931" spans="1:3" s="10" customFormat="1" x14ac:dyDescent="0.25">
      <c r="A2931" s="10" t="str">
        <f>"0611860984050"</f>
        <v>0611860984050</v>
      </c>
      <c r="B2931" s="10" t="str">
        <f>"CR4685"</f>
        <v>CR4685</v>
      </c>
      <c r="C2931" s="10" t="s">
        <v>2901</v>
      </c>
    </row>
    <row r="2932" spans="1:3" s="10" customFormat="1" x14ac:dyDescent="0.25">
      <c r="A2932" s="10" t="str">
        <f>"0611860985050"</f>
        <v>0611860985050</v>
      </c>
      <c r="B2932" s="10" t="str">
        <f>"CR4686"</f>
        <v>CR4686</v>
      </c>
      <c r="C2932" s="10" t="s">
        <v>2902</v>
      </c>
    </row>
    <row r="2933" spans="1:3" s="10" customFormat="1" x14ac:dyDescent="0.25">
      <c r="A2933" s="10" t="str">
        <f>"0611860986050"</f>
        <v>0611860986050</v>
      </c>
      <c r="B2933" s="10" t="str">
        <f>"CR4687"</f>
        <v>CR4687</v>
      </c>
      <c r="C2933" s="10" t="s">
        <v>2903</v>
      </c>
    </row>
    <row r="2934" spans="1:3" s="10" customFormat="1" x14ac:dyDescent="0.25">
      <c r="A2934" s="10" t="str">
        <f>"0611860987050"</f>
        <v>0611860987050</v>
      </c>
      <c r="B2934" s="10" t="str">
        <f>"CR4688"</f>
        <v>CR4688</v>
      </c>
      <c r="C2934" s="10" t="s">
        <v>2904</v>
      </c>
    </row>
    <row r="2935" spans="1:3" s="10" customFormat="1" x14ac:dyDescent="0.25">
      <c r="A2935" s="10" t="str">
        <f>"0611860988050"</f>
        <v>0611860988050</v>
      </c>
      <c r="B2935" s="10" t="str">
        <f>"CR4769"</f>
        <v>CR4769</v>
      </c>
      <c r="C2935" s="10" t="s">
        <v>2905</v>
      </c>
    </row>
    <row r="2936" spans="1:3" s="10" customFormat="1" x14ac:dyDescent="0.25">
      <c r="A2936" s="10" t="str">
        <f>"0611860989050"</f>
        <v>0611860989050</v>
      </c>
      <c r="B2936" s="10" t="str">
        <f>"CR4690"</f>
        <v>CR4690</v>
      </c>
      <c r="C2936" s="10" t="s">
        <v>2906</v>
      </c>
    </row>
    <row r="2937" spans="1:3" s="10" customFormat="1" x14ac:dyDescent="0.25">
      <c r="A2937" s="10" t="str">
        <f>"0611860990050"</f>
        <v>0611860990050</v>
      </c>
      <c r="B2937" s="10" t="str">
        <f>"CR4691"</f>
        <v>CR4691</v>
      </c>
      <c r="C2937" s="10" t="s">
        <v>2907</v>
      </c>
    </row>
    <row r="2938" spans="1:3" s="10" customFormat="1" x14ac:dyDescent="0.25">
      <c r="A2938" s="10" t="str">
        <f>"0611860991050"</f>
        <v>0611860991050</v>
      </c>
      <c r="B2938" s="10" t="str">
        <f>"CR4901"</f>
        <v>CR4901</v>
      </c>
      <c r="C2938" s="10" t="s">
        <v>2908</v>
      </c>
    </row>
    <row r="2939" spans="1:3" s="10" customFormat="1" x14ac:dyDescent="0.25">
      <c r="A2939" s="10" t="str">
        <f>"0611860992050"</f>
        <v>0611860992050</v>
      </c>
      <c r="B2939" s="10" t="str">
        <f>"CR4692"</f>
        <v>CR4692</v>
      </c>
      <c r="C2939" s="10" t="s">
        <v>2909</v>
      </c>
    </row>
    <row r="2940" spans="1:3" s="10" customFormat="1" x14ac:dyDescent="0.25">
      <c r="A2940" s="10" t="str">
        <f>"0611860993050"</f>
        <v>0611860993050</v>
      </c>
      <c r="B2940" s="10" t="str">
        <f>"CR4693"</f>
        <v>CR4693</v>
      </c>
      <c r="C2940" s="10" t="s">
        <v>2910</v>
      </c>
    </row>
    <row r="2941" spans="1:3" s="10" customFormat="1" x14ac:dyDescent="0.25">
      <c r="A2941" s="10" t="str">
        <f>"0611860994050"</f>
        <v>0611860994050</v>
      </c>
      <c r="B2941" s="10" t="str">
        <f>"CR4641"</f>
        <v>CR4641</v>
      </c>
      <c r="C2941" s="10" t="s">
        <v>2911</v>
      </c>
    </row>
    <row r="2942" spans="1:3" s="10" customFormat="1" x14ac:dyDescent="0.25">
      <c r="A2942" s="10" t="str">
        <f>"0611860995050"</f>
        <v>0611860995050</v>
      </c>
      <c r="B2942" s="10" t="str">
        <f>"CR4695"</f>
        <v>CR4695</v>
      </c>
      <c r="C2942" s="10" t="s">
        <v>2912</v>
      </c>
    </row>
    <row r="2943" spans="1:3" s="10" customFormat="1" x14ac:dyDescent="0.25">
      <c r="A2943" s="10" t="str">
        <f>"0611860996050"</f>
        <v>0611860996050</v>
      </c>
      <c r="B2943" s="10" t="str">
        <f>"CR4696"</f>
        <v>CR4696</v>
      </c>
      <c r="C2943" s="10" t="s">
        <v>2914</v>
      </c>
    </row>
    <row r="2944" spans="1:3" s="10" customFormat="1" x14ac:dyDescent="0.25">
      <c r="A2944" s="10" t="str">
        <f>"0611860997050"</f>
        <v>0611860997050</v>
      </c>
      <c r="B2944" s="10" t="str">
        <f>"CR4697"</f>
        <v>CR4697</v>
      </c>
      <c r="C2944" s="10" t="s">
        <v>2915</v>
      </c>
    </row>
    <row r="2945" spans="1:3" s="10" customFormat="1" x14ac:dyDescent="0.25">
      <c r="A2945" s="10" t="str">
        <f>"0611860998050"</f>
        <v>0611860998050</v>
      </c>
      <c r="B2945" s="10" t="str">
        <f>"CR4698"</f>
        <v>CR4698</v>
      </c>
      <c r="C2945" s="10" t="s">
        <v>2916</v>
      </c>
    </row>
    <row r="2946" spans="1:3" s="10" customFormat="1" x14ac:dyDescent="0.25">
      <c r="A2946" s="10" t="str">
        <f>"0611860999050"</f>
        <v>0611860999050</v>
      </c>
      <c r="B2946" s="10" t="str">
        <f>"CR4699"</f>
        <v>CR4699</v>
      </c>
      <c r="C2946" s="10" t="s">
        <v>2917</v>
      </c>
    </row>
    <row r="2947" spans="1:3" s="10" customFormat="1" x14ac:dyDescent="0.25">
      <c r="A2947" s="10" t="str">
        <f>"0611861000050"</f>
        <v>0611861000050</v>
      </c>
      <c r="B2947" s="10" t="str">
        <f>"CR5049"</f>
        <v>CR5049</v>
      </c>
      <c r="C2947" s="10" t="s">
        <v>2918</v>
      </c>
    </row>
    <row r="2948" spans="1:3" s="10" customFormat="1" x14ac:dyDescent="0.25">
      <c r="A2948" s="10" t="str">
        <f>"0611861001050"</f>
        <v>0611861001050</v>
      </c>
      <c r="B2948" s="10" t="str">
        <f>"CR4642"</f>
        <v>CR4642</v>
      </c>
      <c r="C2948" s="10" t="s">
        <v>2919</v>
      </c>
    </row>
    <row r="2949" spans="1:3" s="10" customFormat="1" x14ac:dyDescent="0.25">
      <c r="A2949" s="10" t="str">
        <f>"0611861002050"</f>
        <v>0611861002050</v>
      </c>
      <c r="B2949" s="10" t="str">
        <f>"CR4700"</f>
        <v>CR4700</v>
      </c>
      <c r="C2949" s="10" t="s">
        <v>2920</v>
      </c>
    </row>
    <row r="2950" spans="1:3" s="10" customFormat="1" x14ac:dyDescent="0.25">
      <c r="A2950" s="10" t="str">
        <f>"0611861003050"</f>
        <v>0611861003050</v>
      </c>
      <c r="B2950" s="10" t="str">
        <f>"CR4702"</f>
        <v>CR4702</v>
      </c>
      <c r="C2950" s="10" t="s">
        <v>2922</v>
      </c>
    </row>
    <row r="2951" spans="1:3" s="10" customFormat="1" x14ac:dyDescent="0.25">
      <c r="A2951" s="10" t="str">
        <f>"0611861004050"</f>
        <v>0611861004050</v>
      </c>
      <c r="B2951" s="10" t="str">
        <f>"CR4703"</f>
        <v>CR4703</v>
      </c>
      <c r="C2951" s="10" t="s">
        <v>2923</v>
      </c>
    </row>
    <row r="2952" spans="1:3" s="10" customFormat="1" x14ac:dyDescent="0.25">
      <c r="A2952" s="10" t="str">
        <f>"0611861005050"</f>
        <v>0611861005050</v>
      </c>
      <c r="B2952" s="10" t="str">
        <f>"CR5125"</f>
        <v>CR5125</v>
      </c>
      <c r="C2952" s="10" t="s">
        <v>2924</v>
      </c>
    </row>
    <row r="2953" spans="1:3" s="10" customFormat="1" x14ac:dyDescent="0.25">
      <c r="A2953" s="10" t="str">
        <f>"0611861007050"</f>
        <v>0611861007050</v>
      </c>
      <c r="B2953" s="10" t="str">
        <f>"CR4705"</f>
        <v>CR4705</v>
      </c>
      <c r="C2953" s="10" t="s">
        <v>2925</v>
      </c>
    </row>
    <row r="2954" spans="1:3" s="10" customFormat="1" x14ac:dyDescent="0.25">
      <c r="A2954" s="10" t="str">
        <f>"0611861008050"</f>
        <v>0611861008050</v>
      </c>
      <c r="B2954" s="10" t="str">
        <f>"CR4643"</f>
        <v>CR4643</v>
      </c>
      <c r="C2954" s="10" t="s">
        <v>2926</v>
      </c>
    </row>
    <row r="2955" spans="1:3" s="10" customFormat="1" x14ac:dyDescent="0.25">
      <c r="A2955" s="10" t="str">
        <f>"0611861009050"</f>
        <v>0611861009050</v>
      </c>
      <c r="B2955" s="10" t="str">
        <f>"CR4707"</f>
        <v>CR4707</v>
      </c>
      <c r="C2955" s="10" t="s">
        <v>2927</v>
      </c>
    </row>
    <row r="2956" spans="1:3" s="10" customFormat="1" x14ac:dyDescent="0.25">
      <c r="A2956" s="10" t="str">
        <f>"0611861010050"</f>
        <v>0611861010050</v>
      </c>
      <c r="B2956" s="10" t="str">
        <f>"CR4708"</f>
        <v>CR4708</v>
      </c>
      <c r="C2956" s="10" t="s">
        <v>2928</v>
      </c>
    </row>
    <row r="2957" spans="1:3" s="10" customFormat="1" x14ac:dyDescent="0.25">
      <c r="A2957" s="10" t="str">
        <f>"0611861011050"</f>
        <v>0611861011050</v>
      </c>
      <c r="B2957" s="10" t="str">
        <f>"CR4709"</f>
        <v>CR4709</v>
      </c>
      <c r="C2957" s="10" t="s">
        <v>2929</v>
      </c>
    </row>
    <row r="2958" spans="1:3" s="10" customFormat="1" x14ac:dyDescent="0.25">
      <c r="A2958" s="10" t="str">
        <f>"0611861012050"</f>
        <v>0611861012050</v>
      </c>
      <c r="B2958" s="10" t="str">
        <f>"CR4711"</f>
        <v>CR4711</v>
      </c>
      <c r="C2958" s="10" t="s">
        <v>2930</v>
      </c>
    </row>
    <row r="2959" spans="1:3" s="10" customFormat="1" x14ac:dyDescent="0.25">
      <c r="A2959" s="10" t="str">
        <f>"0611861013050"</f>
        <v>0611861013050</v>
      </c>
      <c r="B2959" s="10" t="str">
        <f>"CR4713"</f>
        <v>CR4713</v>
      </c>
      <c r="C2959" s="10" t="s">
        <v>2931</v>
      </c>
    </row>
    <row r="2960" spans="1:3" s="10" customFormat="1" x14ac:dyDescent="0.25">
      <c r="A2960" s="10" t="str">
        <f>"0611861014050"</f>
        <v>0611861014050</v>
      </c>
      <c r="B2960" s="10" t="str">
        <f>"CR5100"</f>
        <v>CR5100</v>
      </c>
      <c r="C2960" s="10" t="s">
        <v>2932</v>
      </c>
    </row>
    <row r="2961" spans="1:3" s="10" customFormat="1" x14ac:dyDescent="0.25">
      <c r="A2961" s="10" t="str">
        <f>"0611861015050"</f>
        <v>0611861015050</v>
      </c>
      <c r="B2961" s="10" t="str">
        <f>"CR4714"</f>
        <v>CR4714</v>
      </c>
      <c r="C2961" s="10" t="s">
        <v>2933</v>
      </c>
    </row>
    <row r="2962" spans="1:3" s="10" customFormat="1" x14ac:dyDescent="0.25">
      <c r="A2962" s="10" t="str">
        <f>"0611861016050"</f>
        <v>0611861016050</v>
      </c>
      <c r="B2962" s="10" t="str">
        <f>"CR4715"</f>
        <v>CR4715</v>
      </c>
      <c r="C2962" s="10" t="s">
        <v>2934</v>
      </c>
    </row>
    <row r="2963" spans="1:3" s="10" customFormat="1" x14ac:dyDescent="0.25">
      <c r="A2963" s="10" t="str">
        <f>"0611861017050"</f>
        <v>0611861017050</v>
      </c>
      <c r="B2963" s="10" t="str">
        <f>"CR4716"</f>
        <v>CR4716</v>
      </c>
      <c r="C2963" s="10" t="s">
        <v>2935</v>
      </c>
    </row>
    <row r="2964" spans="1:3" s="10" customFormat="1" x14ac:dyDescent="0.25">
      <c r="A2964" s="10" t="str">
        <f>"0611861018050"</f>
        <v>0611861018050</v>
      </c>
      <c r="B2964" s="10" t="str">
        <f>"CR5101"</f>
        <v>CR5101</v>
      </c>
      <c r="C2964" s="10" t="s">
        <v>2936</v>
      </c>
    </row>
    <row r="2965" spans="1:3" s="10" customFormat="1" x14ac:dyDescent="0.25">
      <c r="A2965" s="10" t="str">
        <f>"0611861019050"</f>
        <v>0611861019050</v>
      </c>
      <c r="B2965" s="10" t="str">
        <f>"CR4644"</f>
        <v>CR4644</v>
      </c>
      <c r="C2965" s="10" t="s">
        <v>2937</v>
      </c>
    </row>
    <row r="2966" spans="1:3" s="10" customFormat="1" x14ac:dyDescent="0.25">
      <c r="A2966" s="10" t="str">
        <f>"0611861020050"</f>
        <v>0611861020050</v>
      </c>
      <c r="B2966" s="10" t="str">
        <f>"CR4645"</f>
        <v>CR4645</v>
      </c>
      <c r="C2966" s="10" t="s">
        <v>2938</v>
      </c>
    </row>
    <row r="2967" spans="1:3" s="10" customFormat="1" x14ac:dyDescent="0.25">
      <c r="A2967" s="10" t="str">
        <f>"0611861021050"</f>
        <v>0611861021050</v>
      </c>
      <c r="B2967" s="10" t="str">
        <f>"CR4646"</f>
        <v>CR4646</v>
      </c>
      <c r="C2967" s="10" t="s">
        <v>2939</v>
      </c>
    </row>
    <row r="2968" spans="1:3" s="10" customFormat="1" x14ac:dyDescent="0.25">
      <c r="A2968" s="10" t="str">
        <f>"0611861022050"</f>
        <v>0611861022050</v>
      </c>
      <c r="B2968" s="10" t="str">
        <f>"CR5102"</f>
        <v>CR5102</v>
      </c>
      <c r="C2968" s="10" t="s">
        <v>2940</v>
      </c>
    </row>
    <row r="2969" spans="1:3" s="10" customFormat="1" x14ac:dyDescent="0.25">
      <c r="A2969" s="10" t="str">
        <f>"0611861023050"</f>
        <v>0611861023050</v>
      </c>
      <c r="B2969" s="10" t="str">
        <f>"CR4718"</f>
        <v>CR4718</v>
      </c>
      <c r="C2969" s="10" t="s">
        <v>2941</v>
      </c>
    </row>
    <row r="2970" spans="1:3" s="10" customFormat="1" x14ac:dyDescent="0.25">
      <c r="A2970" s="10" t="str">
        <f>"0611861024050"</f>
        <v>0611861024050</v>
      </c>
      <c r="B2970" s="10" t="str">
        <f>"CR4719"</f>
        <v>CR4719</v>
      </c>
      <c r="C2970" s="10" t="s">
        <v>2942</v>
      </c>
    </row>
    <row r="2971" spans="1:3" s="10" customFormat="1" x14ac:dyDescent="0.25">
      <c r="A2971" s="10" t="str">
        <f>"0611861025050"</f>
        <v>0611861025050</v>
      </c>
      <c r="B2971" s="10" t="str">
        <f>"CR4647"</f>
        <v>CR4647</v>
      </c>
      <c r="C2971" s="10" t="s">
        <v>2943</v>
      </c>
    </row>
    <row r="2972" spans="1:3" s="10" customFormat="1" x14ac:dyDescent="0.25">
      <c r="A2972" s="10" t="str">
        <f>"0611861026050"</f>
        <v>0611861026050</v>
      </c>
      <c r="B2972" s="10" t="str">
        <f>"CR5043"</f>
        <v>CR5043</v>
      </c>
      <c r="C2972" s="10" t="s">
        <v>2944</v>
      </c>
    </row>
    <row r="2973" spans="1:3" s="10" customFormat="1" x14ac:dyDescent="0.25">
      <c r="A2973" s="10" t="str">
        <f>"0611861027050"</f>
        <v>0611861027050</v>
      </c>
      <c r="B2973" s="10" t="str">
        <f>"CR4720"</f>
        <v>CR4720</v>
      </c>
      <c r="C2973" s="10" t="s">
        <v>2945</v>
      </c>
    </row>
    <row r="2974" spans="1:3" s="10" customFormat="1" x14ac:dyDescent="0.25">
      <c r="A2974" s="10" t="str">
        <f>"0611861028050"</f>
        <v>0611861028050</v>
      </c>
      <c r="B2974" s="10" t="str">
        <f>"CR4721"</f>
        <v>CR4721</v>
      </c>
      <c r="C2974" s="10" t="s">
        <v>2946</v>
      </c>
    </row>
    <row r="2975" spans="1:3" s="10" customFormat="1" x14ac:dyDescent="0.25">
      <c r="A2975" s="10" t="str">
        <f>"0611861029050"</f>
        <v>0611861029050</v>
      </c>
      <c r="B2975" s="10" t="str">
        <f>"CR4902"</f>
        <v>CR4902</v>
      </c>
      <c r="C2975" s="10" t="s">
        <v>2947</v>
      </c>
    </row>
    <row r="2976" spans="1:3" s="10" customFormat="1" x14ac:dyDescent="0.25">
      <c r="A2976" s="10" t="str">
        <f>"0611861030050"</f>
        <v>0611861030050</v>
      </c>
      <c r="B2976" s="10" t="str">
        <f>"CR5044"</f>
        <v>CR5044</v>
      </c>
      <c r="C2976" s="10" t="s">
        <v>2948</v>
      </c>
    </row>
    <row r="2977" spans="1:3" s="10" customFormat="1" x14ac:dyDescent="0.25">
      <c r="A2977" s="10" t="str">
        <f>"0611861031050"</f>
        <v>0611861031050</v>
      </c>
      <c r="B2977" s="10" t="str">
        <f>"CR4723"</f>
        <v>CR4723</v>
      </c>
      <c r="C2977" s="10" t="s">
        <v>2949</v>
      </c>
    </row>
    <row r="2978" spans="1:3" s="10" customFormat="1" x14ac:dyDescent="0.25">
      <c r="A2978" s="10" t="str">
        <f>"0611861032050"</f>
        <v>0611861032050</v>
      </c>
      <c r="B2978" s="10" t="str">
        <f>"CR4724"</f>
        <v>CR4724</v>
      </c>
      <c r="C2978" s="10" t="s">
        <v>2950</v>
      </c>
    </row>
    <row r="2979" spans="1:3" s="10" customFormat="1" x14ac:dyDescent="0.25">
      <c r="A2979" s="10" t="str">
        <f>"0611861033050"</f>
        <v>0611861033050</v>
      </c>
      <c r="B2979" s="10" t="str">
        <f>"CR4725"</f>
        <v>CR4725</v>
      </c>
      <c r="C2979" s="10" t="s">
        <v>2951</v>
      </c>
    </row>
    <row r="2980" spans="1:3" s="10" customFormat="1" x14ac:dyDescent="0.25">
      <c r="A2980" s="10" t="str">
        <f>"0611861034050"</f>
        <v>0611861034050</v>
      </c>
      <c r="B2980" s="10" t="str">
        <f>"CR4726"</f>
        <v>CR4726</v>
      </c>
      <c r="C2980" s="10" t="s">
        <v>2952</v>
      </c>
    </row>
    <row r="2981" spans="1:3" s="10" customFormat="1" x14ac:dyDescent="0.25">
      <c r="A2981" s="10" t="str">
        <f>"0611861035050"</f>
        <v>0611861035050</v>
      </c>
      <c r="B2981" s="10" t="str">
        <f>"CR4903"</f>
        <v>CR4903</v>
      </c>
      <c r="C2981" s="10" t="s">
        <v>2953</v>
      </c>
    </row>
    <row r="2982" spans="1:3" s="10" customFormat="1" x14ac:dyDescent="0.25">
      <c r="A2982" s="10" t="str">
        <f>"0611861036050"</f>
        <v>0611861036050</v>
      </c>
      <c r="B2982" s="10" t="str">
        <f>"CR4648"</f>
        <v>CR4648</v>
      </c>
      <c r="C2982" s="10" t="s">
        <v>2954</v>
      </c>
    </row>
    <row r="2983" spans="1:3" s="10" customFormat="1" x14ac:dyDescent="0.25">
      <c r="A2983" s="10" t="str">
        <f>"0611861037050"</f>
        <v>0611861037050</v>
      </c>
      <c r="B2983" s="10" t="str">
        <f>"CR4649"</f>
        <v>CR4649</v>
      </c>
      <c r="C2983" s="10" t="s">
        <v>2955</v>
      </c>
    </row>
    <row r="2984" spans="1:3" s="10" customFormat="1" x14ac:dyDescent="0.25">
      <c r="A2984" s="10" t="str">
        <f>"0611861038050"</f>
        <v>0611861038050</v>
      </c>
      <c r="B2984" s="10" t="str">
        <f>"CR4727"</f>
        <v>CR4727</v>
      </c>
      <c r="C2984" s="10" t="s">
        <v>2956</v>
      </c>
    </row>
    <row r="2985" spans="1:3" s="10" customFormat="1" x14ac:dyDescent="0.25">
      <c r="A2985" s="10" t="str">
        <f>"0611861039050"</f>
        <v>0611861039050</v>
      </c>
      <c r="B2985" s="10" t="str">
        <f>"CR4728"</f>
        <v>CR4728</v>
      </c>
      <c r="C2985" s="10" t="s">
        <v>2957</v>
      </c>
    </row>
    <row r="2986" spans="1:3" s="10" customFormat="1" x14ac:dyDescent="0.25">
      <c r="A2986" s="10" t="str">
        <f>"0611861040050"</f>
        <v>0611861040050</v>
      </c>
      <c r="B2986" s="10" t="str">
        <f>"CR4729"</f>
        <v>CR4729</v>
      </c>
      <c r="C2986" s="10" t="s">
        <v>2958</v>
      </c>
    </row>
    <row r="2987" spans="1:3" s="10" customFormat="1" x14ac:dyDescent="0.25">
      <c r="A2987" s="10" t="str">
        <f>"0611861041050"</f>
        <v>0611861041050</v>
      </c>
      <c r="B2987" s="10" t="str">
        <f>"CR5103"</f>
        <v>CR5103</v>
      </c>
      <c r="C2987" s="10" t="s">
        <v>2959</v>
      </c>
    </row>
    <row r="2988" spans="1:3" s="10" customFormat="1" x14ac:dyDescent="0.25">
      <c r="A2988" s="10" t="str">
        <f>"0611861042050"</f>
        <v>0611861042050</v>
      </c>
      <c r="B2988" s="10" t="str">
        <f>"CR4879"</f>
        <v>CR4879</v>
      </c>
      <c r="C2988" s="10" t="s">
        <v>2961</v>
      </c>
    </row>
    <row r="2989" spans="1:3" s="10" customFormat="1" x14ac:dyDescent="0.25">
      <c r="A2989" s="10" t="str">
        <f>"0611861043050"</f>
        <v>0611861043050</v>
      </c>
      <c r="B2989" s="10" t="str">
        <f>"CR4731"</f>
        <v>CR4731</v>
      </c>
      <c r="C2989" s="10" t="s">
        <v>2963</v>
      </c>
    </row>
    <row r="2990" spans="1:3" s="10" customFormat="1" x14ac:dyDescent="0.25">
      <c r="A2990" s="10" t="str">
        <f>"0611861044050"</f>
        <v>0611861044050</v>
      </c>
      <c r="B2990" s="10" t="str">
        <f>"CR5107"</f>
        <v>CR5107</v>
      </c>
      <c r="C2990" s="10" t="s">
        <v>2964</v>
      </c>
    </row>
    <row r="2991" spans="1:3" s="10" customFormat="1" x14ac:dyDescent="0.25">
      <c r="A2991" s="10" t="str">
        <f>"0611861045050"</f>
        <v>0611861045050</v>
      </c>
      <c r="B2991" s="10" t="str">
        <f>"CR5060"</f>
        <v>CR5060</v>
      </c>
      <c r="C2991" s="10" t="s">
        <v>2965</v>
      </c>
    </row>
    <row r="2992" spans="1:3" s="10" customFormat="1" x14ac:dyDescent="0.25">
      <c r="A2992" s="10" t="str">
        <f>"0611861046050"</f>
        <v>0611861046050</v>
      </c>
      <c r="B2992" s="10" t="str">
        <f>"CR4732"</f>
        <v>CR4732</v>
      </c>
      <c r="C2992" s="10" t="s">
        <v>2967</v>
      </c>
    </row>
    <row r="2993" spans="1:3" s="10" customFormat="1" x14ac:dyDescent="0.25">
      <c r="A2993" s="10" t="str">
        <f>"0611861047050"</f>
        <v>0611861047050</v>
      </c>
      <c r="B2993" s="10" t="str">
        <f>"CR4733"</f>
        <v>CR4733</v>
      </c>
      <c r="C2993" s="10" t="s">
        <v>2968</v>
      </c>
    </row>
    <row r="2994" spans="1:3" s="10" customFormat="1" x14ac:dyDescent="0.25">
      <c r="A2994" s="10" t="str">
        <f>"0611861048050"</f>
        <v>0611861048050</v>
      </c>
      <c r="B2994" s="10" t="str">
        <f>"CR4650"</f>
        <v>CR4650</v>
      </c>
      <c r="C2994" s="10" t="s">
        <v>2969</v>
      </c>
    </row>
    <row r="2995" spans="1:3" s="10" customFormat="1" x14ac:dyDescent="0.25">
      <c r="A2995" s="10" t="str">
        <f>"0611861049050"</f>
        <v>0611861049050</v>
      </c>
      <c r="B2995" s="10" t="str">
        <f>"CR5045"</f>
        <v>CR5045</v>
      </c>
      <c r="C2995" s="10" t="s">
        <v>2972</v>
      </c>
    </row>
    <row r="2996" spans="1:3" s="10" customFormat="1" x14ac:dyDescent="0.25">
      <c r="A2996" s="10" t="str">
        <f>"0611861050050"</f>
        <v>0611861050050</v>
      </c>
      <c r="B2996" s="10" t="str">
        <f>"CR4735"</f>
        <v>CR4735</v>
      </c>
      <c r="C2996" s="10" t="s">
        <v>2973</v>
      </c>
    </row>
    <row r="2997" spans="1:3" s="10" customFormat="1" x14ac:dyDescent="0.25">
      <c r="A2997" s="10" t="str">
        <f>"0611861051050"</f>
        <v>0611861051050</v>
      </c>
      <c r="B2997" s="10" t="str">
        <f>"CR4737"</f>
        <v>CR4737</v>
      </c>
      <c r="C2997" s="10" t="s">
        <v>2974</v>
      </c>
    </row>
    <row r="2998" spans="1:3" s="10" customFormat="1" x14ac:dyDescent="0.25">
      <c r="A2998" s="10" t="str">
        <f>"0611861052050"</f>
        <v>0611861052050</v>
      </c>
      <c r="B2998" s="10" t="str">
        <f>"CR5112"</f>
        <v>CR5112</v>
      </c>
      <c r="C2998" s="10" t="s">
        <v>2975</v>
      </c>
    </row>
    <row r="2999" spans="1:3" s="10" customFormat="1" x14ac:dyDescent="0.25">
      <c r="A2999" s="10" t="str">
        <f>"0611861053050"</f>
        <v>0611861053050</v>
      </c>
      <c r="B2999" s="10" t="str">
        <f>"CR5048"</f>
        <v>CR5048</v>
      </c>
      <c r="C2999" s="10" t="s">
        <v>2976</v>
      </c>
    </row>
    <row r="3000" spans="1:3" s="10" customFormat="1" x14ac:dyDescent="0.25">
      <c r="A3000" s="10" t="str">
        <f>"0611861054050"</f>
        <v>0611861054050</v>
      </c>
      <c r="B3000" s="10" t="str">
        <f>"CR4740"</f>
        <v>CR4740</v>
      </c>
      <c r="C3000" s="10" t="s">
        <v>2977</v>
      </c>
    </row>
    <row r="3001" spans="1:3" s="10" customFormat="1" x14ac:dyDescent="0.25">
      <c r="A3001" s="10" t="str">
        <f>"0611861055050"</f>
        <v>0611861055050</v>
      </c>
      <c r="B3001" s="10" t="str">
        <f>"CR4741"</f>
        <v>CR4741</v>
      </c>
      <c r="C3001" s="10" t="s">
        <v>2978</v>
      </c>
    </row>
    <row r="3002" spans="1:3" s="10" customFormat="1" x14ac:dyDescent="0.25">
      <c r="A3002" s="10" t="str">
        <f>"0611861056050"</f>
        <v>0611861056050</v>
      </c>
      <c r="B3002" s="10" t="str">
        <f>"CR4742"</f>
        <v>CR4742</v>
      </c>
      <c r="C3002" s="10" t="s">
        <v>2979</v>
      </c>
    </row>
    <row r="3003" spans="1:3" s="10" customFormat="1" x14ac:dyDescent="0.25">
      <c r="A3003" s="10" t="str">
        <f>"0611861057050"</f>
        <v>0611861057050</v>
      </c>
      <c r="B3003" s="10" t="str">
        <f>"CR4744"</f>
        <v>CR4744</v>
      </c>
      <c r="C3003" s="10" t="s">
        <v>2980</v>
      </c>
    </row>
    <row r="3004" spans="1:3" s="10" customFormat="1" x14ac:dyDescent="0.25">
      <c r="A3004" s="10" t="str">
        <f>"0611861058050"</f>
        <v>0611861058050</v>
      </c>
      <c r="B3004" s="10" t="str">
        <f>"CR5113"</f>
        <v>CR5113</v>
      </c>
      <c r="C3004" s="10" t="s">
        <v>2981</v>
      </c>
    </row>
    <row r="3005" spans="1:3" s="10" customFormat="1" x14ac:dyDescent="0.25">
      <c r="A3005" s="10" t="str">
        <f>"0611861059050"</f>
        <v>0611861059050</v>
      </c>
      <c r="B3005" s="10" t="str">
        <f>"CR4745"</f>
        <v>CR4745</v>
      </c>
      <c r="C3005" s="10" t="s">
        <v>2982</v>
      </c>
    </row>
    <row r="3006" spans="1:3" s="10" customFormat="1" x14ac:dyDescent="0.25">
      <c r="A3006" s="10" t="str">
        <f>"0611861060050"</f>
        <v>0611861060050</v>
      </c>
      <c r="B3006" s="10" t="str">
        <f>"CR4746"</f>
        <v>CR4746</v>
      </c>
      <c r="C3006" s="10" t="s">
        <v>2983</v>
      </c>
    </row>
    <row r="3007" spans="1:3" s="10" customFormat="1" x14ac:dyDescent="0.25">
      <c r="A3007" s="10" t="str">
        <f>"0611861061050"</f>
        <v>0611861061050</v>
      </c>
      <c r="B3007" s="10" t="str">
        <f>"CR4747"</f>
        <v>CR4747</v>
      </c>
      <c r="C3007" s="10" t="s">
        <v>2984</v>
      </c>
    </row>
    <row r="3008" spans="1:3" s="10" customFormat="1" x14ac:dyDescent="0.25">
      <c r="A3008" s="10" t="str">
        <f>"0611861062050"</f>
        <v>0611861062050</v>
      </c>
      <c r="B3008" s="10" t="str">
        <f>"CR4651"</f>
        <v>CR4651</v>
      </c>
      <c r="C3008" s="10" t="s">
        <v>2985</v>
      </c>
    </row>
    <row r="3009" spans="1:3" s="10" customFormat="1" x14ac:dyDescent="0.25">
      <c r="A3009" s="10" t="str">
        <f>"0611861063050"</f>
        <v>0611861063050</v>
      </c>
      <c r="B3009" s="10" t="str">
        <f>"CR4748"</f>
        <v>CR4748</v>
      </c>
      <c r="C3009" s="10" t="s">
        <v>2986</v>
      </c>
    </row>
    <row r="3010" spans="1:3" s="10" customFormat="1" x14ac:dyDescent="0.25">
      <c r="A3010" s="10" t="str">
        <f>"0611861064050"</f>
        <v>0611861064050</v>
      </c>
      <c r="B3010" s="10" t="str">
        <f>"CR4749"</f>
        <v>CR4749</v>
      </c>
      <c r="C3010" s="10" t="s">
        <v>2987</v>
      </c>
    </row>
    <row r="3011" spans="1:3" s="10" customFormat="1" x14ac:dyDescent="0.25">
      <c r="A3011" s="10" t="str">
        <f>"0611861065050"</f>
        <v>0611861065050</v>
      </c>
      <c r="B3011" s="10" t="str">
        <f>"CR4750"</f>
        <v>CR4750</v>
      </c>
      <c r="C3011" s="10" t="s">
        <v>2988</v>
      </c>
    </row>
    <row r="3012" spans="1:3" s="10" customFormat="1" x14ac:dyDescent="0.25">
      <c r="A3012" s="10" t="str">
        <f>"0611861066050"</f>
        <v>0611861066050</v>
      </c>
      <c r="B3012" s="10" t="str">
        <f>"CR4751"</f>
        <v>CR4751</v>
      </c>
      <c r="C3012" s="10" t="s">
        <v>2989</v>
      </c>
    </row>
    <row r="3013" spans="1:3" s="10" customFormat="1" x14ac:dyDescent="0.25">
      <c r="A3013" s="10" t="str">
        <f>"0611861067050"</f>
        <v>0611861067050</v>
      </c>
      <c r="B3013" s="10" t="str">
        <f>"CR5115"</f>
        <v>CR5115</v>
      </c>
      <c r="C3013" s="10" t="s">
        <v>2990</v>
      </c>
    </row>
    <row r="3014" spans="1:3" s="10" customFormat="1" x14ac:dyDescent="0.25">
      <c r="A3014" s="10" t="str">
        <f>"0611861068050"</f>
        <v>0611861068050</v>
      </c>
      <c r="B3014" s="10" t="str">
        <f>"CR4753"</f>
        <v>CR4753</v>
      </c>
      <c r="C3014" s="10" t="s">
        <v>2991</v>
      </c>
    </row>
    <row r="3015" spans="1:3" s="10" customFormat="1" x14ac:dyDescent="0.25">
      <c r="A3015" s="10" t="str">
        <f>"0611861069050"</f>
        <v>0611861069050</v>
      </c>
      <c r="B3015" s="10" t="str">
        <f>"CR5116"</f>
        <v>CR5116</v>
      </c>
      <c r="C3015" s="10" t="s">
        <v>2993</v>
      </c>
    </row>
    <row r="3016" spans="1:3" s="10" customFormat="1" x14ac:dyDescent="0.25">
      <c r="A3016" s="10" t="str">
        <f>"0611861070050"</f>
        <v>0611861070050</v>
      </c>
      <c r="B3016" s="10" t="str">
        <f>"CR5124"</f>
        <v>CR5124</v>
      </c>
      <c r="C3016" s="10" t="s">
        <v>2994</v>
      </c>
    </row>
    <row r="3017" spans="1:3" s="10" customFormat="1" x14ac:dyDescent="0.25">
      <c r="A3017" s="10" t="str">
        <f>"0611861071050"</f>
        <v>0611861071050</v>
      </c>
      <c r="B3017" s="10" t="str">
        <f>"CR4755"</f>
        <v>CR4755</v>
      </c>
      <c r="C3017" s="10" t="s">
        <v>2995</v>
      </c>
    </row>
    <row r="3018" spans="1:3" s="10" customFormat="1" x14ac:dyDescent="0.25">
      <c r="A3018" s="10" t="str">
        <f>"0611861072050"</f>
        <v>0611861072050</v>
      </c>
      <c r="B3018" s="10" t="str">
        <f>"CR4756"</f>
        <v>CR4756</v>
      </c>
      <c r="C3018" s="10" t="s">
        <v>2996</v>
      </c>
    </row>
    <row r="3019" spans="1:3" s="10" customFormat="1" x14ac:dyDescent="0.25">
      <c r="A3019" s="10" t="str">
        <f>"0611861073050"</f>
        <v>0611861073050</v>
      </c>
      <c r="B3019" s="10" t="str">
        <f>"CR4757"</f>
        <v>CR4757</v>
      </c>
      <c r="C3019" s="10" t="s">
        <v>2997</v>
      </c>
    </row>
    <row r="3020" spans="1:3" s="10" customFormat="1" x14ac:dyDescent="0.25">
      <c r="A3020" s="10" t="str">
        <f>"0611861074050"</f>
        <v>0611861074050</v>
      </c>
      <c r="B3020" s="10" t="str">
        <f>"CR5117"</f>
        <v>CR5117</v>
      </c>
      <c r="C3020" s="10" t="s">
        <v>2998</v>
      </c>
    </row>
    <row r="3021" spans="1:3" s="10" customFormat="1" x14ac:dyDescent="0.25">
      <c r="A3021" s="10" t="str">
        <f>"0611861075050"</f>
        <v>0611861075050</v>
      </c>
      <c r="B3021" s="10" t="str">
        <f>"CR5123"</f>
        <v>CR5123</v>
      </c>
      <c r="C3021" s="10" t="s">
        <v>2999</v>
      </c>
    </row>
    <row r="3022" spans="1:3" s="10" customFormat="1" x14ac:dyDescent="0.25">
      <c r="A3022" s="10" t="str">
        <f>"0611861076050"</f>
        <v>0611861076050</v>
      </c>
      <c r="B3022" s="10" t="str">
        <f>"CR4652"</f>
        <v>CR4652</v>
      </c>
      <c r="C3022" s="10" t="s">
        <v>3000</v>
      </c>
    </row>
    <row r="3023" spans="1:3" s="10" customFormat="1" x14ac:dyDescent="0.25">
      <c r="A3023" s="10" t="str">
        <f>"0611861077050"</f>
        <v>0611861077050</v>
      </c>
      <c r="B3023" s="10" t="str">
        <f>"CR5118"</f>
        <v>CR5118</v>
      </c>
      <c r="C3023" s="10" t="s">
        <v>3001</v>
      </c>
    </row>
    <row r="3024" spans="1:3" s="10" customFormat="1" x14ac:dyDescent="0.25">
      <c r="A3024" s="10" t="str">
        <f>"0611861078050"</f>
        <v>0611861078050</v>
      </c>
      <c r="B3024" s="10" t="str">
        <f>"CR4759"</f>
        <v>CR4759</v>
      </c>
      <c r="C3024" s="10" t="s">
        <v>3002</v>
      </c>
    </row>
    <row r="3025" spans="1:3" s="10" customFormat="1" x14ac:dyDescent="0.25">
      <c r="A3025" s="10" t="str">
        <f>"0611861079050"</f>
        <v>0611861079050</v>
      </c>
      <c r="B3025" s="10" t="str">
        <f>"CR5119"</f>
        <v>CR5119</v>
      </c>
      <c r="C3025" s="10" t="s">
        <v>3003</v>
      </c>
    </row>
    <row r="3026" spans="1:3" s="10" customFormat="1" x14ac:dyDescent="0.25">
      <c r="A3026" s="10" t="str">
        <f>"0611884525050"</f>
        <v>0611884525050</v>
      </c>
      <c r="B3026" s="10" t="str">
        <f>"CR5284"</f>
        <v>CR5284</v>
      </c>
      <c r="C3026" s="10" t="s">
        <v>2960</v>
      </c>
    </row>
    <row r="3027" spans="1:3" s="10" customFormat="1" x14ac:dyDescent="0.25">
      <c r="A3027" s="10" t="str">
        <f>"0611884526050"</f>
        <v>0611884526050</v>
      </c>
      <c r="B3027" s="10" t="str">
        <f>"CR5106"</f>
        <v>CR5106</v>
      </c>
      <c r="C3027" s="10" t="s">
        <v>2962</v>
      </c>
    </row>
    <row r="3028" spans="1:3" s="10" customFormat="1" x14ac:dyDescent="0.25">
      <c r="A3028" s="10" t="str">
        <f>"0611884527050"</f>
        <v>0611884527050</v>
      </c>
      <c r="B3028" s="10" t="str">
        <f>"CR5110"</f>
        <v>CR5110</v>
      </c>
      <c r="C3028" s="10" t="s">
        <v>2966</v>
      </c>
    </row>
    <row r="3029" spans="1:3" s="10" customFormat="1" x14ac:dyDescent="0.25">
      <c r="A3029" s="10" t="str">
        <f>"0611906604050"</f>
        <v>0611906604050</v>
      </c>
      <c r="B3029" s="10" t="str">
        <f>"CR5527"</f>
        <v>CR5527</v>
      </c>
      <c r="C3029" s="10" t="s">
        <v>2970</v>
      </c>
    </row>
    <row r="3030" spans="1:3" s="10" customFormat="1" x14ac:dyDescent="0.25">
      <c r="A3030" s="10" t="str">
        <f>"0611884528050"</f>
        <v>0611884528050</v>
      </c>
      <c r="B3030" s="10" t="str">
        <f>"CR5111"</f>
        <v>CR5111</v>
      </c>
      <c r="C3030" s="10" t="s">
        <v>2971</v>
      </c>
    </row>
    <row r="3031" spans="1:3" s="10" customFormat="1" x14ac:dyDescent="0.25">
      <c r="A3031" s="10" t="str">
        <f>"0611884529050"</f>
        <v>0611884529050</v>
      </c>
      <c r="B3031" s="10" t="str">
        <f>"CR5266"</f>
        <v>CR5266</v>
      </c>
      <c r="C3031" s="10" t="s">
        <v>2992</v>
      </c>
    </row>
    <row r="3032" spans="1:3" s="10" customFormat="1" x14ac:dyDescent="0.25">
      <c r="A3032" s="10" t="str">
        <f>"0611864326050"</f>
        <v>0611864326050</v>
      </c>
      <c r="B3032" s="10" t="str">
        <f>"CR3031"</f>
        <v>CR3031</v>
      </c>
      <c r="C3032" s="10" t="s">
        <v>3004</v>
      </c>
    </row>
    <row r="3033" spans="1:3" s="10" customFormat="1" x14ac:dyDescent="0.25">
      <c r="A3033" s="10" t="str">
        <f>"0611864327050"</f>
        <v>0611864327050</v>
      </c>
      <c r="B3033" s="10" t="str">
        <f>"CR3032"</f>
        <v>CR3032</v>
      </c>
      <c r="C3033" s="10" t="s">
        <v>3005</v>
      </c>
    </row>
    <row r="3034" spans="1:3" s="10" customFormat="1" x14ac:dyDescent="0.25"/>
    <row r="3035" spans="1:3" s="10" customFormat="1" x14ac:dyDescent="0.25"/>
    <row r="3036" spans="1:3" s="10" customFormat="1" x14ac:dyDescent="0.25"/>
    <row r="3037" spans="1:3" s="10" customFormat="1" x14ac:dyDescent="0.25"/>
    <row r="3038" spans="1:3" s="10" customFormat="1" x14ac:dyDescent="0.25"/>
    <row r="3039" spans="1:3" s="10" customFormat="1" x14ac:dyDescent="0.25"/>
    <row r="3040" spans="1:3" s="10" customFormat="1" x14ac:dyDescent="0.25"/>
    <row r="3041" s="10" customFormat="1" x14ac:dyDescent="0.25"/>
    <row r="3042" s="10" customFormat="1" x14ac:dyDescent="0.25"/>
    <row r="3043" s="10" customFormat="1" x14ac:dyDescent="0.25"/>
    <row r="3044" s="10" customFormat="1" x14ac:dyDescent="0.25"/>
  </sheetData>
  <sortState xmlns:xlrd2="http://schemas.microsoft.com/office/spreadsheetml/2017/richdata2" ref="A19:C3033">
    <sortCondition ref="C19:C3033"/>
  </sortState>
  <mergeCells count="11">
    <mergeCell ref="A10:D10"/>
    <mergeCell ref="B4:C4"/>
    <mergeCell ref="A6:D6"/>
    <mergeCell ref="A7:D7"/>
    <mergeCell ref="A8:D8"/>
    <mergeCell ref="A9:D9"/>
    <mergeCell ref="A11:D11"/>
    <mergeCell ref="A12:D12"/>
    <mergeCell ref="A13:D13"/>
    <mergeCell ref="A14:D14"/>
    <mergeCell ref="A15:D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 Jones</dc:creator>
  <cp:lastModifiedBy>Kim Jones</cp:lastModifiedBy>
  <dcterms:created xsi:type="dcterms:W3CDTF">2024-10-22T16:32:52Z</dcterms:created>
  <dcterms:modified xsi:type="dcterms:W3CDTF">2025-05-14T17:49:10Z</dcterms:modified>
</cp:coreProperties>
</file>